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vi\OneDrive\Área de Trabalho\"/>
    </mc:Choice>
  </mc:AlternateContent>
  <xr:revisionPtr revIDLastSave="0" documentId="13_ncr:1_{2DBF60ED-1851-4616-A19C-1FEED2D87F83}" xr6:coauthVersionLast="45" xr6:coauthVersionMax="45" xr10:uidLastSave="{00000000-0000-0000-0000-000000000000}"/>
  <workbookProtection workbookAlgorithmName="SHA-512" workbookHashValue="yQwzd2/81jM1K3v96sm+/hSoMaRGLeYiBox8wZxRTOBeNwWqdHUHJCowx7fCVcJSFtRTrYawTCZldF5PAUJ6IA==" workbookSaltValue="qDAhkdZQbHQIJxF2swHAzQ==" workbookSpinCount="100000" lockStructure="1"/>
  <bookViews>
    <workbookView xWindow="820" yWindow="-110" windowWidth="18490" windowHeight="11020" xr2:uid="{BA45E57F-1DE0-4C55-9408-87589507DA80}"/>
  </bookViews>
  <sheets>
    <sheet name="Simuladora" sheetId="5" r:id="rId1"/>
    <sheet name="Memória do Cálculo" sheetId="7" state="hidden" r:id="rId2"/>
  </sheets>
  <definedNames>
    <definedName name="fx_etária_20" localSheetId="1">'Memória do Cálculo'!$C$19:$L$19</definedName>
    <definedName name="fx_etária_20" localSheetId="0">'Memória do Cálculo'!$C$19:$L$19</definedName>
    <definedName name="fx_salarial_20" localSheetId="1">'Memória do Cálculo'!$B$20:$B$31</definedName>
    <definedName name="fx_salarial_20" localSheetId="0">'Memória do Cálculo'!$B$20:$B$31</definedName>
    <definedName name="fx_salarial_21" localSheetId="1">'Memória do Cálculo'!$B$37:$B$47</definedName>
    <definedName name="idade_dep_1">Simuladora!$B$14</definedName>
    <definedName name="idade_dep_2">Simuladora!$B$16</definedName>
    <definedName name="idade_dep_3">Simuladora!$B$18</definedName>
    <definedName name="idade_dep_4">Simuladora!$B$20</definedName>
    <definedName name="idade_dep_5">Simuladora!$B$22</definedName>
    <definedName name="idade_dep_6">Simuladora!$B$24</definedName>
    <definedName name="idade_titular">Simuladora!$B$11</definedName>
    <definedName name="idd_conj" localSheetId="1">Simuladora!$B$14</definedName>
    <definedName name="idd_tit" localSheetId="1">Simuladora!$B$11</definedName>
    <definedName name="remédio">Simuladora!$B$5</definedName>
    <definedName name="salário" localSheetId="1">Simuladora!$B$3</definedName>
    <definedName name="salário" localSheetId="0">Simuladora!$B$3</definedName>
    <definedName name="tab_20" localSheetId="1">'Memória do Cálculo'!$C$20:$L$31</definedName>
    <definedName name="tab_20" localSheetId="0">'Memória do Cálculo'!$C$20:$L$31</definedName>
    <definedName name="tab_21" localSheetId="1">'Memória do Cálculo'!$C$37:$L$48</definedName>
    <definedName name="tab_21" localSheetId="0">'Memória do Cálculo'!$C$37:$L$48</definedName>
    <definedName name="tab_22" localSheetId="1">'Memória do Cálculo'!$C$54:$L$65</definedName>
    <definedName name="tab_22" localSheetId="0">'Memória do Cálculo'!$C$54:$L$65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F7" i="5" l="1"/>
  <c r="F6" i="5"/>
  <c r="F5" i="5"/>
  <c r="V13" i="7"/>
  <c r="V6" i="7"/>
  <c r="V7" i="7"/>
  <c r="V8" i="7"/>
  <c r="V9" i="7"/>
  <c r="V10" i="7"/>
  <c r="V11" i="7"/>
  <c r="V12" i="7"/>
  <c r="V5" i="7"/>
  <c r="V4" i="7"/>
  <c r="A24" i="5"/>
  <c r="S13" i="7"/>
  <c r="S6" i="7"/>
  <c r="S7" i="7"/>
  <c r="S8" i="7"/>
  <c r="S9" i="7"/>
  <c r="S10" i="7"/>
  <c r="S11" i="7"/>
  <c r="S12" i="7"/>
  <c r="S5" i="7"/>
  <c r="S4" i="7"/>
  <c r="P13" i="7"/>
  <c r="P6" i="7"/>
  <c r="P7" i="7"/>
  <c r="P8" i="7"/>
  <c r="P9" i="7"/>
  <c r="P10" i="7"/>
  <c r="P11" i="7"/>
  <c r="P12" i="7"/>
  <c r="P5" i="7"/>
  <c r="P4" i="7"/>
  <c r="A22" i="5"/>
  <c r="A20" i="5"/>
  <c r="A18" i="5"/>
  <c r="A16" i="5"/>
  <c r="A14" i="5"/>
  <c r="M13" i="7"/>
  <c r="M6" i="7"/>
  <c r="M7" i="7"/>
  <c r="M8" i="7"/>
  <c r="M9" i="7"/>
  <c r="M10" i="7"/>
  <c r="M11" i="7"/>
  <c r="M12" i="7"/>
  <c r="M5" i="7"/>
  <c r="M4" i="7"/>
  <c r="J13" i="7"/>
  <c r="J6" i="7"/>
  <c r="J7" i="7"/>
  <c r="J8" i="7"/>
  <c r="J9" i="7"/>
  <c r="J10" i="7"/>
  <c r="J11" i="7"/>
  <c r="J12" i="7"/>
  <c r="J5" i="7"/>
  <c r="J4" i="7"/>
  <c r="G13" i="7"/>
  <c r="G6" i="7"/>
  <c r="G7" i="7"/>
  <c r="G8" i="7"/>
  <c r="G9" i="7"/>
  <c r="G10" i="7"/>
  <c r="G11" i="7"/>
  <c r="G12" i="7"/>
  <c r="G5" i="7"/>
  <c r="G4" i="7"/>
  <c r="D13" i="7"/>
  <c r="D6" i="7"/>
  <c r="D7" i="7"/>
  <c r="D8" i="7"/>
  <c r="D9" i="7"/>
  <c r="D10" i="7"/>
  <c r="D11" i="7"/>
  <c r="D12" i="7"/>
  <c r="D5" i="7"/>
  <c r="D4" i="7"/>
  <c r="A15" i="7"/>
  <c r="A14" i="7"/>
  <c r="A13" i="7"/>
  <c r="A12" i="7"/>
  <c r="A11" i="7"/>
  <c r="A10" i="7"/>
  <c r="A9" i="7"/>
  <c r="A8" i="7"/>
  <c r="A7" i="7"/>
  <c r="A6" i="7"/>
  <c r="A5" i="7"/>
  <c r="A4" i="7"/>
  <c r="Q2" i="7" l="1"/>
  <c r="T2" i="7"/>
  <c r="W2" i="7"/>
  <c r="N2" i="7"/>
  <c r="H2" i="7"/>
  <c r="B2" i="7"/>
  <c r="E2" i="7"/>
  <c r="K2" i="7"/>
  <c r="T7" i="5" l="1"/>
  <c r="T6" i="5"/>
  <c r="T5" i="5"/>
  <c r="H7" i="5"/>
  <c r="H6" i="5"/>
  <c r="H5" i="5"/>
  <c r="R6" i="5"/>
  <c r="R7" i="5"/>
  <c r="R5" i="5"/>
  <c r="P5" i="5"/>
  <c r="P6" i="5"/>
  <c r="P7" i="5"/>
  <c r="N7" i="5"/>
  <c r="N6" i="5"/>
  <c r="N5" i="5"/>
  <c r="L7" i="5"/>
  <c r="J6" i="5"/>
  <c r="L6" i="5"/>
  <c r="J5" i="5"/>
  <c r="L5" i="5"/>
  <c r="J7" i="5"/>
  <c r="F13" i="5" l="1"/>
  <c r="F11" i="5"/>
  <c r="N11" i="5" s="1"/>
  <c r="F12" i="5"/>
  <c r="N13" i="5" l="1"/>
  <c r="L13" i="5"/>
  <c r="N12" i="5"/>
  <c r="L12" i="5"/>
  <c r="H13" i="5"/>
  <c r="H12" i="5"/>
  <c r="H11" i="5"/>
  <c r="J13" i="5"/>
  <c r="J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B3" authorId="0" shapeId="0" xr:uid="{D61B32E0-7847-44CC-85BD-79951AF663B4}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Para os trabalhadores titulares na ativa, o cálculo do MSB (Menor Salário Básico) utilizado como faixa de renda na tabela do Grande Risco da AMS, deverá ser considerada todas as parcelas de rendimentos mensais, à exceção de: 13º Salário; Gratificação de férias; Diárias de viagem (exceto ajuda de custo complementar); Adicional de interinidade, quando em substituição do titular afastado até o limite de 60 (sessenta) dias; Vantagens por motivo de transferência; Pagamento por serviço extraordinário; Benefícios; Participação nos Lucros e Resultados – PLR; Abono ou Gratificação Contingente.
Para os trabalhadores aposentados e pensionistas titulares, o cálculo da participação deverá ser consideradas todas as parcelas de sua remuneração, à exceção do 13º salário.
Os dependentes serão enquadrados na mesma classe de renda dos Beneficiários Titulares.</t>
        </r>
      </text>
    </comment>
  </commentList>
</comments>
</file>

<file path=xl/sharedStrings.xml><?xml version="1.0" encoding="utf-8"?>
<sst xmlns="http://schemas.openxmlformats.org/spreadsheetml/2006/main" count="100" uniqueCount="55">
  <si>
    <t>Faixa Salarial (R$)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</si>
  <si>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</si>
  <si>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</si>
  <si>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</si>
  <si>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</si>
  <si>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</si>
  <si>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</si>
  <si>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</si>
  <si>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</si>
  <si>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</si>
  <si>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59 ou mais</t>
  </si>
  <si>
    <t>Até</t>
  </si>
  <si>
    <t>Maior que</t>
  </si>
  <si>
    <t>Plano 28</t>
  </si>
  <si>
    <t>Tabela Grande Risco Atual - agosto 2020</t>
  </si>
  <si>
    <t>Tabela Grande Risco - janeiro 2021 - 60x40</t>
  </si>
  <si>
    <t>Tabela Grande Risco - janeiro 2022 - 50x50</t>
  </si>
  <si>
    <t>maior que 37.457,28</t>
  </si>
  <si>
    <t>Tabela Grande Risco - Janeiro 2021</t>
  </si>
  <si>
    <t>Tabela Grande Risco - Agosto 2020</t>
  </si>
  <si>
    <t>limite superior</t>
  </si>
  <si>
    <t>Indicador da faixa</t>
  </si>
  <si>
    <t>Faixa salarial</t>
  </si>
  <si>
    <t>Faixa etária titular</t>
  </si>
  <si>
    <t>Titular</t>
  </si>
  <si>
    <t>Além do titular, qual o número de dependentes cobertos no plano?</t>
  </si>
  <si>
    <t>Digite a idade do titular (anos completos)</t>
  </si>
  <si>
    <t>Faixa etária dependente 1</t>
  </si>
  <si>
    <t>Faixa dependente 2</t>
  </si>
  <si>
    <t>Faixa dependente 3</t>
  </si>
  <si>
    <t>Faixa dependente 4</t>
  </si>
  <si>
    <t>Faixa dependente 5</t>
  </si>
  <si>
    <t>Faixa dependente 6</t>
  </si>
  <si>
    <t>PARA OS DEPENDENTES NÃO COBERTOS PELO PLANO 28</t>
  </si>
  <si>
    <t>Dep.1</t>
  </si>
  <si>
    <t>Dep.2</t>
  </si>
  <si>
    <t>Dep.3</t>
  </si>
  <si>
    <t>Dep.4</t>
  </si>
  <si>
    <t>Dep.5</t>
  </si>
  <si>
    <t>Dep.6</t>
  </si>
  <si>
    <t>Diferença em relação a 2020 
R$</t>
  </si>
  <si>
    <t>Economia com compra de remédios</t>
  </si>
  <si>
    <t>Quantos dependentes estão cobertos pelo Plano 28?</t>
  </si>
  <si>
    <t>Valor médio por pessoa
R$</t>
  </si>
  <si>
    <t>Qual o valor médio mensal dos remédios adquiridos pela família?</t>
  </si>
  <si>
    <t>Variação sobre 2020
(%)</t>
  </si>
  <si>
    <t>Proporção do salário atual
(%)</t>
  </si>
  <si>
    <t>Dep. do Plano 28</t>
  </si>
  <si>
    <t>Valor Gastos por beneficiário da AMS</t>
  </si>
  <si>
    <t>Valor Gastos pela família com a AMS</t>
  </si>
  <si>
    <t>Digite a Renda Mensal do titular (R$)</t>
  </si>
  <si>
    <t>SIMULADOR DA TABELA GRANDE RISCO DA AMS</t>
  </si>
  <si>
    <t>Tabela Grande Risco - Janeiro 2022*</t>
  </si>
  <si>
    <t>Valor total gasto
R$</t>
  </si>
  <si>
    <t>* VALORES PROVISÓRIOS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</si>
</sst>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parajita"/>
      <family val="1"/>
    </font>
    <font>
      <sz val="14"/>
      <color theme="1"/>
      <name val="Aparajita"/>
      <family val="1"/>
    </font>
    <font>
      <sz val="14"/>
      <color theme="1"/>
      <name val="Calibri"/>
      <family val="2"/>
      <scheme val="minor"/>
    </font>
    <font>
      <b/>
      <sz val="14"/>
      <name val="Aparajita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/>
    <xf numFmtId="3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43" fontId="3" fillId="3" borderId="1" xfId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left" vertic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43" fontId="10" fillId="2" borderId="1" xfId="1" applyFont="1" applyFill="1" applyBorder="1" applyAlignment="1" applyProtection="1">
      <alignment vertical="center"/>
      <protection locked="0" hidden="1"/>
    </xf>
    <xf numFmtId="0" fontId="7" fillId="0" borderId="1" xfId="0" applyFont="1" applyBorder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43" fontId="10" fillId="0" borderId="1" xfId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4" fontId="7" fillId="0" borderId="1" xfId="0" applyNumberFormat="1" applyFont="1" applyBorder="1" applyAlignment="1" applyProtection="1">
      <alignment horizontal="right"/>
      <protection hidden="1"/>
    </xf>
    <xf numFmtId="4" fontId="7" fillId="0" borderId="0" xfId="0" applyNumberFormat="1" applyFont="1" applyBorder="1" applyAlignment="1" applyProtection="1">
      <alignment horizontal="right"/>
      <protection hidden="1"/>
    </xf>
    <xf numFmtId="165" fontId="10" fillId="2" borderId="1" xfId="1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Protection="1">
      <protection locked="0"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164" fontId="7" fillId="0" borderId="0" xfId="2" applyNumberFormat="1" applyFont="1" applyBorder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Protection="1">
      <protection hidden="1"/>
    </xf>
    <xf numFmtId="0" fontId="9" fillId="2" borderId="1" xfId="0" applyFont="1" applyFill="1" applyBorder="1" applyAlignment="1" applyProtection="1">
      <alignment horizontal="right" vertical="center"/>
      <protection locked="0" hidden="1"/>
    </xf>
    <xf numFmtId="4" fontId="9" fillId="0" borderId="1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6" fillId="0" borderId="0" xfId="0" applyNumberFormat="1" applyFont="1" applyProtection="1">
      <protection hidden="1"/>
    </xf>
    <xf numFmtId="43" fontId="10" fillId="0" borderId="0" xfId="1" applyFont="1" applyBorder="1" applyAlignment="1" applyProtection="1">
      <alignment horizontal="lef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166" fontId="7" fillId="0" borderId="1" xfId="2" applyNumberFormat="1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4" fillId="0" borderId="1" xfId="2" applyNumberFormat="1" applyFont="1" applyBorder="1" applyProtection="1">
      <protection hidden="1"/>
    </xf>
    <xf numFmtId="4" fontId="14" fillId="0" borderId="1" xfId="0" applyNumberFormat="1" applyFont="1" applyBorder="1" applyAlignment="1" applyProtection="1">
      <alignment horizontal="right"/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17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C882-4148-4AC9-96C4-44AE4EB8C04B}">
  <dimension ref="A1:U26"/>
  <sheetViews>
    <sheetView showGridLines="0" showRowColHeaders="0" tabSelected="1" topLeftCell="B2" zoomScale="90" zoomScaleNormal="90" workbookViewId="0">
      <selection activeCell="B7" sqref="B7"/>
    </sheetView>
  </sheetViews>
  <sheetFormatPr defaultColWidth="9.1796875" defaultRowHeight="20.5" x14ac:dyDescent="0.65"/>
  <cols>
    <col min="1" max="1" width="84.453125" style="23" customWidth="1"/>
    <col min="2" max="2" width="17" style="23" customWidth="1"/>
    <col min="3" max="3" width="18.1796875" style="24" customWidth="1"/>
    <col min="4" max="4" width="45.7265625" style="24" bestFit="1" customWidth="1"/>
    <col min="5" max="5" width="1.54296875" style="25" customWidth="1"/>
    <col min="6" max="6" width="15.453125" style="25" customWidth="1"/>
    <col min="7" max="7" width="1.54296875" style="25" customWidth="1"/>
    <col min="8" max="8" width="16.26953125" style="24" customWidth="1"/>
    <col min="9" max="9" width="1.54296875" style="25" customWidth="1"/>
    <col min="10" max="10" width="16.26953125" style="24" customWidth="1"/>
    <col min="11" max="11" width="1.453125" style="25" customWidth="1"/>
    <col min="12" max="12" width="16.26953125" style="24" customWidth="1"/>
    <col min="13" max="13" width="1.453125" style="25" customWidth="1"/>
    <col min="14" max="14" width="16.26953125" style="24" customWidth="1"/>
    <col min="15" max="15" width="1.453125" style="25" customWidth="1"/>
    <col min="16" max="16" width="16.26953125" style="24" customWidth="1"/>
    <col min="17" max="17" width="1.453125" style="25" customWidth="1"/>
    <col min="18" max="18" width="16.26953125" style="24" customWidth="1"/>
    <col min="19" max="19" width="1.453125" style="25" customWidth="1"/>
    <col min="20" max="20" width="16.26953125" style="24" customWidth="1"/>
    <col min="21" max="21" width="1.453125" style="25" customWidth="1"/>
    <col min="22" max="22" width="12.54296875" style="24" customWidth="1"/>
    <col min="23" max="16384" width="9.1796875" style="24"/>
  </cols>
  <sheetData>
    <row r="1" spans="1:21" ht="24.5" x14ac:dyDescent="0.65">
      <c r="A1" s="22" t="s">
        <v>51</v>
      </c>
    </row>
    <row r="2" spans="1:21" x14ac:dyDescent="0.65">
      <c r="D2" s="23"/>
      <c r="E2" s="26"/>
    </row>
    <row r="3" spans="1:21" x14ac:dyDescent="0.65">
      <c r="A3" s="27" t="s">
        <v>50</v>
      </c>
      <c r="B3" s="28">
        <v>10000</v>
      </c>
      <c r="J3" s="25"/>
      <c r="L3" s="25"/>
      <c r="N3" s="25"/>
      <c r="P3" s="25"/>
      <c r="R3" s="25"/>
      <c r="T3" s="25"/>
    </row>
    <row r="4" spans="1:21" ht="37" x14ac:dyDescent="0.65">
      <c r="D4" s="51" t="s">
        <v>48</v>
      </c>
      <c r="E4" s="26"/>
      <c r="F4" s="30" t="s">
        <v>47</v>
      </c>
      <c r="G4" s="31"/>
      <c r="H4" s="32" t="s">
        <v>24</v>
      </c>
      <c r="J4" s="30" t="s">
        <v>34</v>
      </c>
      <c r="K4" s="31"/>
      <c r="L4" s="30" t="s">
        <v>35</v>
      </c>
      <c r="M4" s="31"/>
      <c r="N4" s="30" t="s">
        <v>36</v>
      </c>
      <c r="O4" s="31"/>
      <c r="P4" s="30" t="s">
        <v>37</v>
      </c>
      <c r="Q4" s="31"/>
      <c r="R4" s="30" t="s">
        <v>38</v>
      </c>
      <c r="S4" s="31"/>
      <c r="T4" s="30" t="s">
        <v>39</v>
      </c>
      <c r="U4" s="31"/>
    </row>
    <row r="5" spans="1:21" x14ac:dyDescent="0.65">
      <c r="A5" s="33" t="s">
        <v>44</v>
      </c>
      <c r="B5" s="28">
        <v>100</v>
      </c>
      <c r="D5" s="21" t="s">
        <v>19</v>
      </c>
      <c r="E5" s="34"/>
      <c r="F5" s="35">
        <f>IF(B9&gt;0,B9*'Memória do Cálculo'!C32,0)</f>
        <v>363.36689999999999</v>
      </c>
      <c r="G5" s="36"/>
      <c r="H5" s="35">
        <f>IF(salário&gt;0,INDEX(tab_20,MATCH('Memória do Cálculo'!$B$2,fx_salarial_20,0),MATCH('Memória do Cálculo'!$E$2,fx_etária_20,0)),0)</f>
        <v>99.89</v>
      </c>
      <c r="J5" s="49">
        <f>IF(B7-B9&gt;=1,INDEX(tab_20,MATCH('Memória do Cálculo'!$B$2,fx_salarial_20,0),MATCH('Memória do Cálculo'!$H$2,fx_etária_20,0)),0)</f>
        <v>99.89</v>
      </c>
      <c r="K5" s="36"/>
      <c r="L5" s="35">
        <f>IF(B7-B9&gt;=2,INDEX(tab_20,MATCH('Memória do Cálculo'!$B$2,fx_salarial_20,0),MATCH('Memória do Cálculo'!$K$2,fx_etária_20,0)),0)</f>
        <v>0</v>
      </c>
      <c r="M5" s="36"/>
      <c r="N5" s="35">
        <f>IF(B7-B9&gt;=3,INDEX(tab_20,MATCH('Memória do Cálculo'!$B$2,fx_salarial_20,0),MATCH('Memória do Cálculo'!$N$2,fx_etária_20,0)),0)</f>
        <v>0</v>
      </c>
      <c r="O5" s="36"/>
      <c r="P5" s="35">
        <f>IF(B7-B9&gt;=4,INDEX(tab_20,MATCH('Memória do Cálculo'!$B$2,fx_salarial_20,0),MATCH('Memória do Cálculo'!$Q$2,fx_etária_20,0)),0)</f>
        <v>0</v>
      </c>
      <c r="Q5" s="36"/>
      <c r="R5" s="35">
        <f>IF(B7-B9&gt;=5,INDEX(tab_20,MATCH('Memória do Cálculo'!$B$2,fx_salarial_20,0),MATCH('Memória do Cálculo'!$T$2,fx_etária_20,0)),0)</f>
        <v>0</v>
      </c>
      <c r="S5" s="36"/>
      <c r="T5" s="35">
        <f>IF(B7-B9&gt;=6,INDEX(tab_20,MATCH('Memória do Cálculo'!$B$2,fx_salarial_20,0),MATCH('Memória do Cálculo'!$W$2,fx_etária_20,0)),0)</f>
        <v>0</v>
      </c>
      <c r="U5" s="36"/>
    </row>
    <row r="6" spans="1:21" x14ac:dyDescent="0.65">
      <c r="D6" s="21" t="s">
        <v>18</v>
      </c>
      <c r="E6" s="34"/>
      <c r="F6" s="35">
        <f>IF(B9&gt;0,B9*'Memória do Cálculo'!C49,0)</f>
        <v>398.82</v>
      </c>
      <c r="G6" s="36"/>
      <c r="H6" s="35">
        <f>IF(salário&gt;0,INDEX(tab_21,MATCH('Memória do Cálculo'!$B$2,fx_salarial_20,0),MATCH('Memória do Cálculo'!$E$2,fx_etária_20,0)),0)</f>
        <v>341</v>
      </c>
      <c r="J6" s="35">
        <f>IF(B7-B9&gt;=1,INDEX(tab_21,MATCH('Memória do Cálculo'!$B$2,fx_salarial_20,0),MATCH('Memória do Cálculo'!$H$2,fx_etária_20,0)),0)</f>
        <v>341</v>
      </c>
      <c r="K6" s="36"/>
      <c r="L6" s="35">
        <f>IF(B7-B9&gt;=2,INDEX(tab_21,MATCH('Memória do Cálculo'!$B$2,fx_salarial_20,0),MATCH('Memória do Cálculo'!$K$2,fx_etária_20,0)),0)</f>
        <v>0</v>
      </c>
      <c r="M6" s="36"/>
      <c r="N6" s="35">
        <f>IF(B7-B9&gt;=3,INDEX(tab_21,MATCH('Memória do Cálculo'!$B$2,fx_salarial_20,0),MATCH('Memória do Cálculo'!$N$2,fx_etária_20,0)),0)</f>
        <v>0</v>
      </c>
      <c r="O6" s="36"/>
      <c r="P6" s="35">
        <f>IF(B7-B9&gt;=4,INDEX(tab_21,MATCH('Memória do Cálculo'!$B$2,fx_salarial_20,0),MATCH('Memória do Cálculo'!$Q$2,fx_etária_20,0)),0)</f>
        <v>0</v>
      </c>
      <c r="Q6" s="36"/>
      <c r="R6" s="35">
        <f>IF(B7-B9&gt;=5,INDEX(tab_21,MATCH('Memória do Cálculo'!$B$2,fx_salarial_20,0),MATCH('Memória do Cálculo'!$T$2,fx_etária_20,0)),0)</f>
        <v>0</v>
      </c>
      <c r="S6" s="36"/>
      <c r="T6" s="35">
        <f>IF(B7-B9&gt;=6,INDEX(tab_21,MATCH('Memória do Cálculo'!$B$2,fx_salarial_20,0),MATCH('Memória do Cálculo'!$W$2,fx_etária_20,0)),0)</f>
        <v>0</v>
      </c>
      <c r="U6" s="36"/>
    </row>
    <row r="7" spans="1:21" x14ac:dyDescent="0.65">
      <c r="A7" s="27" t="s">
        <v>25</v>
      </c>
      <c r="B7" s="37">
        <v>2</v>
      </c>
      <c r="D7" s="21" t="s">
        <v>52</v>
      </c>
      <c r="E7" s="34"/>
      <c r="F7" s="35">
        <f>IF(B9&gt;0,B9*'Memória do Cálculo'!C66,0)</f>
        <v>450</v>
      </c>
      <c r="G7" s="36"/>
      <c r="H7" s="35">
        <f>IF(salário&gt;0,INDEX(tab_22,MATCH('Memória do Cálculo'!$B$2,fx_salarial_20,0),MATCH('Memória do Cálculo'!$E$2,fx_etária_20,0)),0)</f>
        <v>526.54999999999995</v>
      </c>
      <c r="J7" s="35">
        <f>IF(B7-B9&gt;=1,INDEX(tab_22,MATCH('Memória do Cálculo'!$B$2,fx_salarial_20,0),MATCH('Memória do Cálculo'!$H$2,fx_etária_20)),0)</f>
        <v>526.54999999999995</v>
      </c>
      <c r="K7" s="36"/>
      <c r="L7" s="35">
        <f>IF(B7-B9&gt;=2,INDEX(tab_22,MATCH('Memória do Cálculo'!$B$2,fx_salarial_20,0),MATCH('Memória do Cálculo'!$K$2,fx_etária_20)),0)</f>
        <v>0</v>
      </c>
      <c r="M7" s="36"/>
      <c r="N7" s="35">
        <f>IF(B7-B9&gt;=3,INDEX(tab_22,MATCH('Memória do Cálculo'!$B$2,fx_salarial_20,0),MATCH('Memória do Cálculo'!$N$2,fx_etária_20)),0)</f>
        <v>0</v>
      </c>
      <c r="O7" s="36"/>
      <c r="P7" s="35">
        <f>IF(B7-B9&gt;=4,INDEX(tab_22,MATCH('Memória do Cálculo'!$B$2,fx_salarial_20,0),MATCH('Memória do Cálculo'!$Q$2,fx_etária_20)),0)</f>
        <v>0</v>
      </c>
      <c r="Q7" s="36"/>
      <c r="R7" s="35">
        <f>IF(B7-B9&gt;=5,INDEX(tab_22,MATCH('Memória do Cálculo'!$B$2,fx_salarial_20,0),MATCH('Memória do Cálculo'!$T$2,fx_etária_20)),0)</f>
        <v>0</v>
      </c>
      <c r="S7" s="36"/>
      <c r="T7" s="35">
        <f>IF(B7-B9&gt;=6,INDEX(tab_22,MATCH('Memória do Cálculo'!$B$2,fx_salarial_20,0),MATCH('Memória do Cálculo'!$W$2,fx_etária_20)),0)</f>
        <v>0</v>
      </c>
      <c r="U7" s="36"/>
    </row>
    <row r="8" spans="1:21" x14ac:dyDescent="0.65">
      <c r="B8" s="38"/>
      <c r="D8" s="24" t="s">
        <v>54</v>
      </c>
    </row>
    <row r="9" spans="1:21" x14ac:dyDescent="0.65">
      <c r="A9" s="27" t="s">
        <v>42</v>
      </c>
      <c r="B9" s="37">
        <v>1</v>
      </c>
    </row>
    <row r="10" spans="1:21" ht="79.5" customHeight="1" x14ac:dyDescent="0.65">
      <c r="A10" s="39"/>
      <c r="B10" s="38"/>
      <c r="D10" s="51" t="s">
        <v>49</v>
      </c>
      <c r="E10" s="26"/>
      <c r="F10" s="30" t="s">
        <v>53</v>
      </c>
      <c r="H10" s="30" t="s">
        <v>43</v>
      </c>
      <c r="I10" s="31"/>
      <c r="J10" s="30" t="s">
        <v>40</v>
      </c>
      <c r="K10" s="31"/>
      <c r="L10" s="30" t="s">
        <v>45</v>
      </c>
      <c r="M10" s="31"/>
      <c r="N10" s="30" t="s">
        <v>46</v>
      </c>
      <c r="Q10" s="31"/>
    </row>
    <row r="11" spans="1:21" x14ac:dyDescent="0.65">
      <c r="A11" s="27" t="s">
        <v>26</v>
      </c>
      <c r="B11" s="37">
        <v>60</v>
      </c>
      <c r="C11" s="25"/>
      <c r="D11" s="21" t="s">
        <v>19</v>
      </c>
      <c r="E11" s="34"/>
      <c r="F11" s="64">
        <f>SUM(F5:V5)</f>
        <v>563.14689999999996</v>
      </c>
      <c r="H11" s="63">
        <f>F11 / ($B$7+1)</f>
        <v>187.71563333333333</v>
      </c>
      <c r="I11" s="36"/>
      <c r="J11" s="35"/>
      <c r="K11" s="36"/>
      <c r="L11" s="29"/>
      <c r="M11" s="26"/>
      <c r="N11" s="50">
        <f>IFERROR(F11/salário*100,0)</f>
        <v>5.6314689999999992</v>
      </c>
      <c r="Q11" s="40"/>
    </row>
    <row r="12" spans="1:21" x14ac:dyDescent="0.65">
      <c r="C12" s="41"/>
      <c r="D12" s="21" t="s">
        <v>18</v>
      </c>
      <c r="E12" s="34"/>
      <c r="F12" s="64">
        <f>SUM(F6:V6)</f>
        <v>1080.82</v>
      </c>
      <c r="H12" s="63">
        <f>F12 / ($B$7+1)</f>
        <v>360.27333333333331</v>
      </c>
      <c r="I12" s="36"/>
      <c r="J12" s="35">
        <f>F12-F11</f>
        <v>517.67309999999998</v>
      </c>
      <c r="K12" s="36"/>
      <c r="L12" s="50">
        <f>IFERROR((F12/F11-1)*100,0)</f>
        <v>91.925055434026177</v>
      </c>
      <c r="M12" s="40"/>
      <c r="N12" s="50">
        <f>IFERROR(F12/salário*100,0)</f>
        <v>10.808199999999999</v>
      </c>
      <c r="Q12" s="40"/>
    </row>
    <row r="13" spans="1:21" x14ac:dyDescent="0.65">
      <c r="A13" s="42" t="s">
        <v>33</v>
      </c>
      <c r="C13" s="41"/>
      <c r="D13" s="21" t="s">
        <v>52</v>
      </c>
      <c r="E13" s="34"/>
      <c r="F13" s="64">
        <f>SUM(F7:V7)</f>
        <v>1503.1</v>
      </c>
      <c r="H13" s="63">
        <f>F13 / ($B$7+1)</f>
        <v>501.0333333333333</v>
      </c>
      <c r="I13" s="36"/>
      <c r="J13" s="35">
        <f>F13-F11</f>
        <v>939.95309999999995</v>
      </c>
      <c r="K13" s="36"/>
      <c r="L13" s="50">
        <f>IFERROR((F13/F11-1)*100,0)</f>
        <v>166.91081847382983</v>
      </c>
      <c r="M13" s="40"/>
      <c r="N13" s="50">
        <f>IFERROR(F13/salário*100,0)</f>
        <v>15.031000000000001</v>
      </c>
      <c r="Q13" s="40"/>
    </row>
    <row r="14" spans="1:21" x14ac:dyDescent="0.65">
      <c r="A14" s="33" t="str">
        <f>IF(B7-B9&gt;0,"Digite a idade do primeiro dependente (anos completos)",0)</f>
        <v>Digite a idade do primeiro dependente (anos completos)</v>
      </c>
      <c r="B14" s="43">
        <v>60</v>
      </c>
      <c r="C14" s="25"/>
      <c r="D14" s="24" t="s">
        <v>54</v>
      </c>
    </row>
    <row r="15" spans="1:21" x14ac:dyDescent="0.65">
      <c r="B15" s="38"/>
      <c r="D15" s="44" t="s">
        <v>41</v>
      </c>
      <c r="E15" s="45"/>
      <c r="F15" s="35">
        <f>IF(salário&lt;1456.67,remédio*0.07,IF(salário&lt;2497.15,remédio*0.14,IF(salário&lt;=4994.3,remédio*0.22,0)))</f>
        <v>0</v>
      </c>
      <c r="G15" s="36"/>
      <c r="I15" s="36"/>
    </row>
    <row r="16" spans="1:21" x14ac:dyDescent="0.65">
      <c r="A16" s="33">
        <f>IF(B7-B9-1&gt;0,"Digite a idade do segundo dependente (anos completos)",0)</f>
        <v>0</v>
      </c>
      <c r="B16" s="43">
        <v>8</v>
      </c>
    </row>
    <row r="18" spans="1:9" x14ac:dyDescent="0.65">
      <c r="A18" s="33">
        <f>IF(B7-B9-2&gt;0,"Digite a idade do terceiro dependente (anos completos)",0)</f>
        <v>0</v>
      </c>
      <c r="B18" s="43">
        <v>0</v>
      </c>
      <c r="F18" s="46"/>
      <c r="G18" s="46"/>
      <c r="H18" s="47"/>
      <c r="I18" s="46"/>
    </row>
    <row r="19" spans="1:9" x14ac:dyDescent="0.65">
      <c r="A19" s="48"/>
    </row>
    <row r="20" spans="1:9" x14ac:dyDescent="0.65">
      <c r="A20" s="33">
        <f>IF(B7-B9-3&gt;0,"Digite a idade do quarto dependente (anos completos)",0)</f>
        <v>0</v>
      </c>
      <c r="B20" s="43">
        <v>0</v>
      </c>
    </row>
    <row r="21" spans="1:9" x14ac:dyDescent="0.65">
      <c r="A21" s="48"/>
    </row>
    <row r="22" spans="1:9" x14ac:dyDescent="0.65">
      <c r="A22" s="33">
        <f>IF(B7-B9-4&gt;0,"Digite a idade do quinto dependente (anos completos)",0)</f>
        <v>0</v>
      </c>
      <c r="B22" s="43">
        <v>0</v>
      </c>
    </row>
    <row r="23" spans="1:9" x14ac:dyDescent="0.65">
      <c r="A23" s="48"/>
    </row>
    <row r="24" spans="1:9" x14ac:dyDescent="0.65">
      <c r="A24" s="33">
        <f>IF(B7-B9-5&gt;0,"Digite a idade do sexto dependente (anos completos)",0)</f>
        <v>0</v>
      </c>
      <c r="B24" s="43">
        <v>0</v>
      </c>
    </row>
    <row r="25" spans="1:9" x14ac:dyDescent="0.65">
      <c r="A25" s="48"/>
    </row>
    <row r="26" spans="1:9" x14ac:dyDescent="0.65">
      <c r="A26" s="48"/>
    </row>
  </sheetData>
  <sheetProtection algorithmName="SHA-512" hashValue="vDoM9etDhPlwwGw/t7huWbrLc8CsqkFPZNH0vgHIUzhG82760CWawwjCRRbQIHQ+VdxwDlvQffZD9xnQqh/xfw==" saltValue="T27cUinc9ew5CRNcHvSyfw==" spinCount="100000" sheet="1" objects="1" scenarios="1" selectLockedCells="1"/>
  <conditionalFormatting sqref="A14:B14">
    <cfRule type="expression" dxfId="16" priority="25">
      <formula>ISNONTEXT($A$14)</formula>
    </cfRule>
  </conditionalFormatting>
  <conditionalFormatting sqref="A16:B16">
    <cfRule type="expression" dxfId="15" priority="24">
      <formula>ISNONTEXT($A$16)</formula>
    </cfRule>
  </conditionalFormatting>
  <conditionalFormatting sqref="A18:B18 A19 A21 A23 A25:A26">
    <cfRule type="expression" dxfId="14" priority="23">
      <formula>ISNONTEXT($A$18)</formula>
    </cfRule>
  </conditionalFormatting>
  <conditionalFormatting sqref="A20:B20">
    <cfRule type="expression" dxfId="13" priority="19">
      <formula>ISNONTEXT($A$20)</formula>
    </cfRule>
  </conditionalFormatting>
  <conditionalFormatting sqref="A22:B22">
    <cfRule type="expression" dxfId="12" priority="18">
      <formula>ISNONTEXT($A$22)</formula>
    </cfRule>
  </conditionalFormatting>
  <conditionalFormatting sqref="A24:B24">
    <cfRule type="expression" dxfId="11" priority="17">
      <formula>ISNONTEXT($A$22)</formula>
    </cfRule>
  </conditionalFormatting>
  <conditionalFormatting sqref="A9:B9">
    <cfRule type="expression" dxfId="10" priority="13">
      <formula>$B$7&lt;1</formula>
    </cfRule>
  </conditionalFormatting>
  <conditionalFormatting sqref="A13">
    <cfRule type="expression" dxfId="9" priority="26">
      <formula>B7-B9&lt;1</formula>
    </cfRule>
  </conditionalFormatting>
  <conditionalFormatting sqref="J4:K7">
    <cfRule type="expression" dxfId="8" priority="12">
      <formula>OR($B$7&lt;1,$B$7&lt;=$B$9)</formula>
    </cfRule>
  </conditionalFormatting>
  <conditionalFormatting sqref="L4:L7">
    <cfRule type="expression" dxfId="7" priority="11">
      <formula>OR($B$7&lt;2,($B$7-$B$9)&lt;2)</formula>
    </cfRule>
  </conditionalFormatting>
  <conditionalFormatting sqref="N4:N7">
    <cfRule type="expression" dxfId="6" priority="9">
      <formula>OR($B$7&lt;3,($B$7-$B$9)&lt;3)</formula>
    </cfRule>
  </conditionalFormatting>
  <conditionalFormatting sqref="P4:P7">
    <cfRule type="expression" dxfId="5" priority="8">
      <formula>OR($B$7&lt;4,($B$7-$B$9)&lt;4)</formula>
    </cfRule>
  </conditionalFormatting>
  <conditionalFormatting sqref="R4:R7">
    <cfRule type="expression" dxfId="4" priority="7">
      <formula>OR($B$7&lt;5,($B$7-$B$9)&lt;5)</formula>
    </cfRule>
  </conditionalFormatting>
  <conditionalFormatting sqref="T4:T7">
    <cfRule type="expression" dxfId="3" priority="6">
      <formula>OR($B$7&lt;6,($B$7-$B$9)&lt;6)</formula>
    </cfRule>
  </conditionalFormatting>
  <conditionalFormatting sqref="F15">
    <cfRule type="expression" dxfId="2" priority="5" stopIfTrue="1">
      <formula>OR($B$5=0,salário&gt;4994.3)</formula>
    </cfRule>
  </conditionalFormatting>
  <conditionalFormatting sqref="D15">
    <cfRule type="expression" dxfId="1" priority="4" stopIfTrue="1">
      <formula>OR($B$5=0,salário&gt;4994.3)</formula>
    </cfRule>
  </conditionalFormatting>
  <conditionalFormatting sqref="A5:B5">
    <cfRule type="expression" dxfId="0" priority="1">
      <formula>OR(salário&lt;=0,salário&gt;4944.3)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5EAF-8212-4BBF-BE0D-4162FA159EA6}">
  <dimension ref="A2:W67"/>
  <sheetViews>
    <sheetView showGridLines="0" zoomScale="77" workbookViewId="0">
      <selection activeCell="D5" sqref="D5"/>
    </sheetView>
  </sheetViews>
  <sheetFormatPr defaultRowHeight="14.5" x14ac:dyDescent="0.35"/>
  <cols>
    <col min="1" max="1" width="42.54296875" bestFit="1" customWidth="1"/>
    <col min="2" max="2" width="25.54296875" bestFit="1" customWidth="1"/>
    <col min="3" max="3" width="12.54296875" customWidth="1"/>
    <col min="4" max="4" width="17.26953125" bestFit="1" customWidth="1"/>
    <col min="7" max="7" width="24.453125" bestFit="1" customWidth="1"/>
    <col min="10" max="10" width="18.7265625" style="2" bestFit="1" customWidth="1"/>
    <col min="11" max="11" width="20.453125" bestFit="1" customWidth="1"/>
    <col min="13" max="13" width="17.54296875" customWidth="1"/>
    <col min="14" max="14" width="14.26953125" bestFit="1" customWidth="1"/>
    <col min="16" max="16" width="18.81640625" bestFit="1" customWidth="1"/>
    <col min="17" max="17" width="14.26953125" bestFit="1" customWidth="1"/>
    <col min="19" max="19" width="18.81640625" bestFit="1" customWidth="1"/>
    <col min="20" max="20" width="14.26953125" bestFit="1" customWidth="1"/>
    <col min="22" max="22" width="18.7265625" bestFit="1" customWidth="1"/>
    <col min="23" max="23" width="14.26953125" bestFit="1" customWidth="1"/>
  </cols>
  <sheetData>
    <row r="2" spans="1:23" x14ac:dyDescent="0.35">
      <c r="A2" s="9" t="s">
        <v>22</v>
      </c>
      <c r="B2" s="10">
        <f>VLOOKUP(1,A4:B15,2,FALSE)</f>
        <v>14982.912</v>
      </c>
      <c r="C2" s="11"/>
      <c r="D2" s="12" t="s">
        <v>23</v>
      </c>
      <c r="E2" s="13" t="str">
        <f>VLOOKUP(1,$D$4:$E$13,2,FALSE)</f>
        <v>59 ou mais</v>
      </c>
      <c r="F2" s="11"/>
      <c r="G2" s="12" t="s">
        <v>27</v>
      </c>
      <c r="H2" s="13" t="str">
        <f>VLOOKUP(1,$G$4:$H$13,2,FALSE)</f>
        <v>59 ou mais</v>
      </c>
      <c r="I2" s="11"/>
      <c r="J2" s="12" t="s">
        <v>28</v>
      </c>
      <c r="K2" s="13">
        <f>VLOOKUP(1,$J$4:$K$13,2,FALSE)</f>
        <v>18</v>
      </c>
      <c r="M2" s="12" t="s">
        <v>29</v>
      </c>
      <c r="N2" s="13">
        <f>VLOOKUP(1,$M$4:$N$13,2,FALSE)</f>
        <v>18</v>
      </c>
      <c r="P2" s="12" t="s">
        <v>30</v>
      </c>
      <c r="Q2" s="13">
        <f>VLOOKUP(1,$M$4:$N$13,2,FALSE)</f>
        <v>18</v>
      </c>
      <c r="S2" s="12" t="s">
        <v>31</v>
      </c>
      <c r="T2" s="13">
        <f>VLOOKUP(1,$M$4:$N$13,2,FALSE)</f>
        <v>18</v>
      </c>
      <c r="V2" s="12" t="s">
        <v>32</v>
      </c>
      <c r="W2" s="13">
        <f>VLOOKUP(1,$M$4:$N$13,2,FALSE)</f>
        <v>18</v>
      </c>
    </row>
    <row r="3" spans="1:23" x14ac:dyDescent="0.35">
      <c r="A3" s="9" t="s">
        <v>21</v>
      </c>
      <c r="B3" s="9" t="s">
        <v>20</v>
      </c>
      <c r="C3" s="11"/>
      <c r="D3" s="9" t="s">
        <v>21</v>
      </c>
      <c r="E3" s="9" t="s">
        <v>20</v>
      </c>
      <c r="F3" s="11"/>
      <c r="G3" s="9" t="s">
        <v>21</v>
      </c>
      <c r="H3" s="9" t="s">
        <v>20</v>
      </c>
      <c r="I3" s="11"/>
      <c r="J3" s="9" t="s">
        <v>21</v>
      </c>
      <c r="K3" s="9" t="s">
        <v>20</v>
      </c>
      <c r="M3" s="9" t="s">
        <v>21</v>
      </c>
      <c r="N3" s="9" t="s">
        <v>20</v>
      </c>
      <c r="P3" s="9" t="s">
        <v>21</v>
      </c>
      <c r="Q3" s="9" t="s">
        <v>20</v>
      </c>
      <c r="S3" s="9" t="s">
        <v>21</v>
      </c>
      <c r="T3" s="9" t="s">
        <v>20</v>
      </c>
      <c r="V3" s="9" t="s">
        <v>21</v>
      </c>
      <c r="W3" s="9" t="s">
        <v>20</v>
      </c>
    </row>
    <row r="4" spans="1:23" x14ac:dyDescent="0.35">
      <c r="A4" s="14">
        <f>IF(salário&gt;B4,0,1)</f>
        <v>0</v>
      </c>
      <c r="B4" s="15">
        <v>1456.672</v>
      </c>
      <c r="C4" s="11"/>
      <c r="D4" s="14">
        <f>IF(idade_titular&gt;E4,0,1)</f>
        <v>0</v>
      </c>
      <c r="E4" s="16">
        <v>18</v>
      </c>
      <c r="F4" s="11"/>
      <c r="G4" s="14">
        <f>IF(idade_dep_1&gt;H4,0,1)</f>
        <v>0</v>
      </c>
      <c r="H4" s="16">
        <v>18</v>
      </c>
      <c r="I4" s="11"/>
      <c r="J4" s="14">
        <f>IF(idade_dep_2&gt;K4,0,1)</f>
        <v>1</v>
      </c>
      <c r="K4" s="16">
        <v>18</v>
      </c>
      <c r="M4" s="14">
        <f>IF(idade_dep_3&gt;N4,0,1)</f>
        <v>1</v>
      </c>
      <c r="N4" s="16">
        <v>18</v>
      </c>
      <c r="P4" s="14">
        <f>IF(idade_dep_4&gt;Q4,0,1)</f>
        <v>1</v>
      </c>
      <c r="Q4" s="16">
        <v>18</v>
      </c>
      <c r="S4" s="14">
        <f>IF(idade_dep_5&gt;T4,0,1)</f>
        <v>1</v>
      </c>
      <c r="T4" s="16">
        <v>18</v>
      </c>
      <c r="V4" s="14">
        <f>IF(idade_dep_6&gt;W4,0,1)</f>
        <v>1</v>
      </c>
      <c r="W4" s="16">
        <v>18</v>
      </c>
    </row>
    <row r="5" spans="1:23" x14ac:dyDescent="0.35">
      <c r="A5" s="14">
        <f t="shared" ref="A5:A14" si="0">IF(AND(salário&gt;B4,salário&lt;=B5),1,0)</f>
        <v>0</v>
      </c>
      <c r="B5" s="15">
        <v>2497.152</v>
      </c>
      <c r="C5" s="11"/>
      <c r="D5" s="14">
        <f t="shared" ref="D5:D12" si="1">IF(AND(idade_titular&gt;E4,idade_titular&lt;=E5),1,0)</f>
        <v>0</v>
      </c>
      <c r="E5" s="16">
        <v>23</v>
      </c>
      <c r="F5" s="11"/>
      <c r="G5" s="14">
        <f t="shared" ref="G5:G12" si="2">IF(AND(idade_dep_1&gt;H4,idade_dep_1&lt;=H5),1,0)</f>
        <v>0</v>
      </c>
      <c r="H5" s="16">
        <v>23</v>
      </c>
      <c r="I5" s="11"/>
      <c r="J5" s="14">
        <f t="shared" ref="J5:J12" si="3">IF(AND(idade_dep_2&gt;K4,idade_dep_2&lt;=K5),1,0)</f>
        <v>0</v>
      </c>
      <c r="K5" s="16">
        <v>23</v>
      </c>
      <c r="M5" s="14">
        <f t="shared" ref="M5:M12" si="4">IF(AND(idade_dep_3&gt;N4,idade_dep_3&lt;=N5),1,0)</f>
        <v>0</v>
      </c>
      <c r="N5" s="16">
        <v>23</v>
      </c>
      <c r="P5" s="14">
        <f t="shared" ref="P5:P12" si="5">IF(AND(idade_dep_4&gt;Q4,idade_dep_4&lt;=Q5),1,0)</f>
        <v>0</v>
      </c>
      <c r="Q5" s="16">
        <v>23</v>
      </c>
      <c r="S5" s="14">
        <f t="shared" ref="S5:S12" si="6">IF(AND(idade_dep_5&gt;T4,idade_dep_5&lt;=T5),1,0)</f>
        <v>0</v>
      </c>
      <c r="T5" s="16">
        <v>23</v>
      </c>
      <c r="V5" s="14">
        <f t="shared" ref="V5:V12" si="7">IF(AND(idade_dep_6&gt;W4,idade_dep_6&lt;=W5),1,0)</f>
        <v>0</v>
      </c>
      <c r="W5" s="16">
        <v>23</v>
      </c>
    </row>
    <row r="6" spans="1:23" x14ac:dyDescent="0.35">
      <c r="A6" s="14">
        <f t="shared" si="0"/>
        <v>0</v>
      </c>
      <c r="B6" s="15">
        <v>4994.3040000000001</v>
      </c>
      <c r="C6" s="11"/>
      <c r="D6" s="14">
        <f t="shared" si="1"/>
        <v>0</v>
      </c>
      <c r="E6" s="16">
        <v>28</v>
      </c>
      <c r="F6" s="11"/>
      <c r="G6" s="14">
        <f t="shared" si="2"/>
        <v>0</v>
      </c>
      <c r="H6" s="16">
        <v>28</v>
      </c>
      <c r="I6" s="11"/>
      <c r="J6" s="14">
        <f t="shared" si="3"/>
        <v>0</v>
      </c>
      <c r="K6" s="16">
        <v>28</v>
      </c>
      <c r="M6" s="14">
        <f t="shared" si="4"/>
        <v>0</v>
      </c>
      <c r="N6" s="16">
        <v>28</v>
      </c>
      <c r="P6" s="14">
        <f t="shared" si="5"/>
        <v>0</v>
      </c>
      <c r="Q6" s="16">
        <v>28</v>
      </c>
      <c r="S6" s="14">
        <f t="shared" si="6"/>
        <v>0</v>
      </c>
      <c r="T6" s="16">
        <v>28</v>
      </c>
      <c r="V6" s="14">
        <f t="shared" si="7"/>
        <v>0</v>
      </c>
      <c r="W6" s="16">
        <v>28</v>
      </c>
    </row>
    <row r="7" spans="1:23" x14ac:dyDescent="0.35">
      <c r="A7" s="14">
        <f t="shared" si="0"/>
        <v>0</v>
      </c>
      <c r="B7" s="15">
        <v>7491.4560000000001</v>
      </c>
      <c r="C7" s="11"/>
      <c r="D7" s="14">
        <f t="shared" si="1"/>
        <v>0</v>
      </c>
      <c r="E7" s="16">
        <v>33</v>
      </c>
      <c r="F7" s="11"/>
      <c r="G7" s="14">
        <f t="shared" si="2"/>
        <v>0</v>
      </c>
      <c r="H7" s="16">
        <v>33</v>
      </c>
      <c r="I7" s="11"/>
      <c r="J7" s="14">
        <f t="shared" si="3"/>
        <v>0</v>
      </c>
      <c r="K7" s="16">
        <v>33</v>
      </c>
      <c r="M7" s="14">
        <f t="shared" si="4"/>
        <v>0</v>
      </c>
      <c r="N7" s="16">
        <v>33</v>
      </c>
      <c r="P7" s="14">
        <f t="shared" si="5"/>
        <v>0</v>
      </c>
      <c r="Q7" s="16">
        <v>33</v>
      </c>
      <c r="S7" s="14">
        <f t="shared" si="6"/>
        <v>0</v>
      </c>
      <c r="T7" s="16">
        <v>33</v>
      </c>
      <c r="V7" s="14">
        <f t="shared" si="7"/>
        <v>0</v>
      </c>
      <c r="W7" s="16">
        <v>33</v>
      </c>
    </row>
    <row r="8" spans="1:23" x14ac:dyDescent="0.35">
      <c r="A8" s="14">
        <f t="shared" si="0"/>
        <v>0</v>
      </c>
      <c r="B8" s="17">
        <v>9988.6080000000002</v>
      </c>
      <c r="C8" s="11"/>
      <c r="D8" s="14">
        <f t="shared" si="1"/>
        <v>0</v>
      </c>
      <c r="E8" s="18">
        <v>38</v>
      </c>
      <c r="F8" s="11"/>
      <c r="G8" s="14">
        <f t="shared" si="2"/>
        <v>0</v>
      </c>
      <c r="H8" s="18">
        <v>38</v>
      </c>
      <c r="I8" s="11"/>
      <c r="J8" s="14">
        <f t="shared" si="3"/>
        <v>0</v>
      </c>
      <c r="K8" s="18">
        <v>38</v>
      </c>
      <c r="M8" s="14">
        <f t="shared" si="4"/>
        <v>0</v>
      </c>
      <c r="N8" s="18">
        <v>38</v>
      </c>
      <c r="P8" s="14">
        <f t="shared" si="5"/>
        <v>0</v>
      </c>
      <c r="Q8" s="18">
        <v>38</v>
      </c>
      <c r="S8" s="14">
        <f t="shared" si="6"/>
        <v>0</v>
      </c>
      <c r="T8" s="18">
        <v>38</v>
      </c>
      <c r="V8" s="14">
        <f t="shared" si="7"/>
        <v>0</v>
      </c>
      <c r="W8" s="18">
        <v>38</v>
      </c>
    </row>
    <row r="9" spans="1:23" x14ac:dyDescent="0.35">
      <c r="A9" s="14">
        <f t="shared" si="0"/>
        <v>1</v>
      </c>
      <c r="B9" s="17">
        <v>14982.912</v>
      </c>
      <c r="C9" s="11"/>
      <c r="D9" s="14">
        <f t="shared" si="1"/>
        <v>0</v>
      </c>
      <c r="E9" s="18">
        <v>43</v>
      </c>
      <c r="F9" s="11"/>
      <c r="G9" s="14">
        <f t="shared" si="2"/>
        <v>0</v>
      </c>
      <c r="H9" s="18">
        <v>43</v>
      </c>
      <c r="I9" s="11"/>
      <c r="J9" s="14">
        <f t="shared" si="3"/>
        <v>0</v>
      </c>
      <c r="K9" s="18">
        <v>43</v>
      </c>
      <c r="M9" s="14">
        <f t="shared" si="4"/>
        <v>0</v>
      </c>
      <c r="N9" s="18">
        <v>43</v>
      </c>
      <c r="P9" s="14">
        <f t="shared" si="5"/>
        <v>0</v>
      </c>
      <c r="Q9" s="18">
        <v>43</v>
      </c>
      <c r="S9" s="14">
        <f t="shared" si="6"/>
        <v>0</v>
      </c>
      <c r="T9" s="18">
        <v>43</v>
      </c>
      <c r="V9" s="14">
        <f t="shared" si="7"/>
        <v>0</v>
      </c>
      <c r="W9" s="18">
        <v>43</v>
      </c>
    </row>
    <row r="10" spans="1:23" x14ac:dyDescent="0.35">
      <c r="A10" s="14">
        <f t="shared" si="0"/>
        <v>0</v>
      </c>
      <c r="B10" s="17">
        <v>19977.216</v>
      </c>
      <c r="C10" s="11"/>
      <c r="D10" s="14">
        <f t="shared" si="1"/>
        <v>0</v>
      </c>
      <c r="E10" s="18">
        <v>48</v>
      </c>
      <c r="F10" s="11"/>
      <c r="G10" s="14">
        <f t="shared" si="2"/>
        <v>0</v>
      </c>
      <c r="H10" s="18">
        <v>48</v>
      </c>
      <c r="I10" s="11"/>
      <c r="J10" s="14">
        <f t="shared" si="3"/>
        <v>0</v>
      </c>
      <c r="K10" s="18">
        <v>48</v>
      </c>
      <c r="M10" s="14">
        <f t="shared" si="4"/>
        <v>0</v>
      </c>
      <c r="N10" s="18">
        <v>48</v>
      </c>
      <c r="P10" s="14">
        <f t="shared" si="5"/>
        <v>0</v>
      </c>
      <c r="Q10" s="18">
        <v>48</v>
      </c>
      <c r="S10" s="14">
        <f t="shared" si="6"/>
        <v>0</v>
      </c>
      <c r="T10" s="18">
        <v>48</v>
      </c>
      <c r="V10" s="14">
        <f t="shared" si="7"/>
        <v>0</v>
      </c>
      <c r="W10" s="18">
        <v>48</v>
      </c>
    </row>
    <row r="11" spans="1:23" x14ac:dyDescent="0.35">
      <c r="A11" s="14">
        <f t="shared" si="0"/>
        <v>0</v>
      </c>
      <c r="B11" s="17">
        <v>23514.848000000002</v>
      </c>
      <c r="C11" s="11"/>
      <c r="D11" s="14">
        <f t="shared" si="1"/>
        <v>0</v>
      </c>
      <c r="E11" s="18">
        <v>53</v>
      </c>
      <c r="F11" s="11"/>
      <c r="G11" s="14">
        <f t="shared" si="2"/>
        <v>0</v>
      </c>
      <c r="H11" s="18">
        <v>53</v>
      </c>
      <c r="I11" s="11"/>
      <c r="J11" s="14">
        <f t="shared" si="3"/>
        <v>0</v>
      </c>
      <c r="K11" s="18">
        <v>53</v>
      </c>
      <c r="M11" s="14">
        <f t="shared" si="4"/>
        <v>0</v>
      </c>
      <c r="N11" s="18">
        <v>53</v>
      </c>
      <c r="P11" s="14">
        <f t="shared" si="5"/>
        <v>0</v>
      </c>
      <c r="Q11" s="18">
        <v>53</v>
      </c>
      <c r="S11" s="14">
        <f t="shared" si="6"/>
        <v>0</v>
      </c>
      <c r="T11" s="18">
        <v>53</v>
      </c>
      <c r="V11" s="14">
        <f t="shared" si="7"/>
        <v>0</v>
      </c>
      <c r="W11" s="18">
        <v>53</v>
      </c>
    </row>
    <row r="12" spans="1:23" x14ac:dyDescent="0.35">
      <c r="A12" s="14">
        <f t="shared" si="0"/>
        <v>0</v>
      </c>
      <c r="B12" s="17">
        <v>27052.48</v>
      </c>
      <c r="C12" s="11"/>
      <c r="D12" s="14">
        <f t="shared" si="1"/>
        <v>0</v>
      </c>
      <c r="E12" s="18">
        <v>58</v>
      </c>
      <c r="F12" s="19"/>
      <c r="G12" s="14">
        <f t="shared" si="2"/>
        <v>0</v>
      </c>
      <c r="H12" s="18">
        <v>58</v>
      </c>
      <c r="I12" s="19"/>
      <c r="J12" s="14">
        <f t="shared" si="3"/>
        <v>0</v>
      </c>
      <c r="K12" s="18">
        <v>58</v>
      </c>
      <c r="M12" s="14">
        <f t="shared" si="4"/>
        <v>0</v>
      </c>
      <c r="N12" s="18">
        <v>58</v>
      </c>
      <c r="P12" s="14">
        <f t="shared" si="5"/>
        <v>0</v>
      </c>
      <c r="Q12" s="18">
        <v>58</v>
      </c>
      <c r="S12" s="14">
        <f t="shared" si="6"/>
        <v>0</v>
      </c>
      <c r="T12" s="18">
        <v>58</v>
      </c>
      <c r="V12" s="14">
        <f t="shared" si="7"/>
        <v>0</v>
      </c>
      <c r="W12" s="18">
        <v>58</v>
      </c>
    </row>
    <row r="13" spans="1:23" x14ac:dyDescent="0.35">
      <c r="A13" s="14">
        <f t="shared" si="0"/>
        <v>0</v>
      </c>
      <c r="B13" s="15">
        <v>31214.400000000001</v>
      </c>
      <c r="C13" s="11"/>
      <c r="D13" s="14">
        <f>IF(idade_titular&gt;E12,1,0)</f>
        <v>1</v>
      </c>
      <c r="E13" s="15" t="s">
        <v>10</v>
      </c>
      <c r="F13" s="19"/>
      <c r="G13" s="20">
        <f>IF(idade_dep_1&gt;H12,1,0)</f>
        <v>1</v>
      </c>
      <c r="H13" s="15" t="s">
        <v>10</v>
      </c>
      <c r="I13" s="19"/>
      <c r="J13" s="20">
        <f>IF(idade_dep_2&gt;K12,1,0)</f>
        <v>0</v>
      </c>
      <c r="K13" s="15" t="s">
        <v>10</v>
      </c>
      <c r="M13" s="20">
        <f>IF(idade_dep_3&gt;N12,1,0)</f>
        <v>0</v>
      </c>
      <c r="N13" s="15" t="s">
        <v>10</v>
      </c>
      <c r="P13" s="20">
        <f>IF(idade_dep_4&gt;Q12,1,0)</f>
        <v>0</v>
      </c>
      <c r="Q13" s="15" t="s">
        <v>10</v>
      </c>
      <c r="S13" s="20">
        <f>IF(idade_dep_5&gt;T12,1,0)</f>
        <v>0</v>
      </c>
      <c r="T13" s="15" t="s">
        <v>10</v>
      </c>
      <c r="V13" s="20">
        <f>IF(idade_dep_6&gt;W12,1,0)</f>
        <v>0</v>
      </c>
      <c r="W13" s="15" t="s">
        <v>10</v>
      </c>
    </row>
    <row r="14" spans="1:23" x14ac:dyDescent="0.35">
      <c r="A14" s="14">
        <f t="shared" si="0"/>
        <v>0</v>
      </c>
      <c r="B14" s="15">
        <v>37457.279999999999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23" x14ac:dyDescent="0.35">
      <c r="A15" s="14">
        <f>IF(salário&gt;B14,1,0)</f>
        <v>0</v>
      </c>
      <c r="B15" s="15" t="s">
        <v>17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23" x14ac:dyDescent="0.35">
      <c r="A16" s="2"/>
      <c r="J16"/>
    </row>
    <row r="17" spans="1:12" x14ac:dyDescent="0.35">
      <c r="A17" s="2"/>
      <c r="J17"/>
    </row>
    <row r="18" spans="1:12" x14ac:dyDescent="0.35">
      <c r="A18" s="54" t="s">
        <v>0</v>
      </c>
      <c r="B18" s="54"/>
      <c r="C18" s="54" t="s">
        <v>14</v>
      </c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26" x14ac:dyDescent="0.35">
      <c r="A19" s="54"/>
      <c r="B19" s="54"/>
      <c r="C19" s="5">
        <v>18</v>
      </c>
      <c r="D19" s="5">
        <v>23</v>
      </c>
      <c r="E19" s="5">
        <v>28</v>
      </c>
      <c r="F19" s="5">
        <v>33</v>
      </c>
      <c r="G19" s="5">
        <v>38</v>
      </c>
      <c r="H19" s="5">
        <v>43</v>
      </c>
      <c r="I19" s="5">
        <v>48</v>
      </c>
      <c r="J19" s="5">
        <v>53</v>
      </c>
      <c r="K19" s="5">
        <v>58</v>
      </c>
      <c r="L19" s="5" t="s">
        <v>10</v>
      </c>
    </row>
    <row r="20" spans="1:12" x14ac:dyDescent="0.35">
      <c r="A20" s="54" t="s">
        <v>11</v>
      </c>
      <c r="B20" s="3">
        <v>1456.672</v>
      </c>
      <c r="C20" s="1">
        <v>8.2899999999999991</v>
      </c>
      <c r="D20" s="1">
        <v>8.69</v>
      </c>
      <c r="E20" s="1">
        <v>9.07</v>
      </c>
      <c r="F20" s="1">
        <v>9.44</v>
      </c>
      <c r="G20" s="1">
        <v>9.81</v>
      </c>
      <c r="H20" s="1">
        <v>10.19</v>
      </c>
      <c r="I20" s="1">
        <v>10.59</v>
      </c>
      <c r="J20" s="1">
        <v>10.96</v>
      </c>
      <c r="K20" s="1">
        <v>11.35</v>
      </c>
      <c r="L20" s="1">
        <v>11.73</v>
      </c>
    </row>
    <row r="21" spans="1:12" x14ac:dyDescent="0.35">
      <c r="A21" s="54"/>
      <c r="B21" s="3">
        <v>2497.152</v>
      </c>
      <c r="C21" s="1">
        <v>12.49</v>
      </c>
      <c r="D21" s="1">
        <v>13.22</v>
      </c>
      <c r="E21" s="1">
        <v>13.92</v>
      </c>
      <c r="F21" s="1">
        <v>14.64</v>
      </c>
      <c r="G21" s="1">
        <v>15.37</v>
      </c>
      <c r="H21" s="1">
        <v>16.059999999999999</v>
      </c>
      <c r="I21" s="1">
        <v>16.79</v>
      </c>
      <c r="J21" s="1">
        <v>17.510000000000002</v>
      </c>
      <c r="K21" s="1">
        <v>18.2</v>
      </c>
      <c r="L21" s="1">
        <v>18.920000000000002</v>
      </c>
    </row>
    <row r="22" spans="1:12" x14ac:dyDescent="0.35">
      <c r="A22" s="54"/>
      <c r="B22" s="3">
        <v>4994.3040000000001</v>
      </c>
      <c r="C22" s="1">
        <v>23.13</v>
      </c>
      <c r="D22" s="1">
        <v>24.61</v>
      </c>
      <c r="E22" s="1">
        <v>26.11</v>
      </c>
      <c r="F22" s="1">
        <v>27.59</v>
      </c>
      <c r="G22" s="1">
        <v>29.07</v>
      </c>
      <c r="H22" s="1">
        <v>30.54</v>
      </c>
      <c r="I22" s="1">
        <v>32.020000000000003</v>
      </c>
      <c r="J22" s="1">
        <v>33.520000000000003</v>
      </c>
      <c r="K22" s="1">
        <v>35.01</v>
      </c>
      <c r="L22" s="1">
        <v>36.49</v>
      </c>
    </row>
    <row r="23" spans="1:12" x14ac:dyDescent="0.35">
      <c r="A23" s="54"/>
      <c r="B23" s="3">
        <v>7491.4560000000001</v>
      </c>
      <c r="C23" s="1">
        <v>33.090000000000003</v>
      </c>
      <c r="D23" s="1">
        <v>35.42</v>
      </c>
      <c r="E23" s="1">
        <v>37.75</v>
      </c>
      <c r="F23" s="1">
        <v>40.06</v>
      </c>
      <c r="G23" s="1">
        <v>42.38</v>
      </c>
      <c r="H23" s="1">
        <v>44.68</v>
      </c>
      <c r="I23" s="1">
        <v>47.01</v>
      </c>
      <c r="J23" s="1">
        <v>49.32</v>
      </c>
      <c r="K23" s="1">
        <v>51.66</v>
      </c>
      <c r="L23" s="1">
        <v>53.98</v>
      </c>
    </row>
    <row r="24" spans="1:12" x14ac:dyDescent="0.35">
      <c r="A24" s="54"/>
      <c r="B24" s="4">
        <v>9988.6080000000002</v>
      </c>
      <c r="C24" s="1">
        <v>42.22</v>
      </c>
      <c r="D24" s="1">
        <v>45.29</v>
      </c>
      <c r="E24" s="1">
        <v>48.34</v>
      </c>
      <c r="F24" s="1">
        <v>51.41</v>
      </c>
      <c r="G24" s="1">
        <v>54.46</v>
      </c>
      <c r="H24" s="1">
        <v>57.54</v>
      </c>
      <c r="I24" s="1">
        <v>60.59</v>
      </c>
      <c r="J24" s="1">
        <v>63.67</v>
      </c>
      <c r="K24" s="1">
        <v>66.72</v>
      </c>
      <c r="L24" s="1">
        <v>69.78</v>
      </c>
    </row>
    <row r="25" spans="1:12" x14ac:dyDescent="0.35">
      <c r="A25" s="54"/>
      <c r="B25" s="4">
        <v>14982.912</v>
      </c>
      <c r="C25" s="1">
        <v>58.5</v>
      </c>
      <c r="D25" s="1">
        <v>63.08</v>
      </c>
      <c r="E25" s="1">
        <v>67.69</v>
      </c>
      <c r="F25" s="1">
        <v>72.28</v>
      </c>
      <c r="G25" s="1">
        <v>76.89</v>
      </c>
      <c r="H25" s="1">
        <v>81.5</v>
      </c>
      <c r="I25" s="1">
        <v>86.11</v>
      </c>
      <c r="J25" s="1">
        <v>90.67</v>
      </c>
      <c r="K25" s="1">
        <v>95.29</v>
      </c>
      <c r="L25" s="1">
        <v>99.89</v>
      </c>
    </row>
    <row r="26" spans="1:12" x14ac:dyDescent="0.35">
      <c r="A26" s="54"/>
      <c r="B26" s="4">
        <v>19977.216</v>
      </c>
      <c r="C26" s="1">
        <v>74.67</v>
      </c>
      <c r="D26" s="1">
        <v>80.81</v>
      </c>
      <c r="E26" s="1">
        <v>86.93</v>
      </c>
      <c r="F26" s="1">
        <v>93.07</v>
      </c>
      <c r="G26" s="1">
        <v>99.18</v>
      </c>
      <c r="H26" s="1">
        <v>105.31</v>
      </c>
      <c r="I26" s="1">
        <v>111.44</v>
      </c>
      <c r="J26" s="1">
        <v>117.56</v>
      </c>
      <c r="K26" s="1">
        <v>123.68</v>
      </c>
      <c r="L26" s="1">
        <v>129.82</v>
      </c>
    </row>
    <row r="27" spans="1:12" x14ac:dyDescent="0.35">
      <c r="A27" s="54"/>
      <c r="B27" s="4">
        <v>23514.848000000002</v>
      </c>
      <c r="C27" s="1">
        <v>103.55</v>
      </c>
      <c r="D27" s="1">
        <v>112.74</v>
      </c>
      <c r="E27" s="1">
        <v>121.93</v>
      </c>
      <c r="F27" s="1">
        <v>131.13</v>
      </c>
      <c r="G27" s="1">
        <v>140.34</v>
      </c>
      <c r="H27" s="1">
        <v>149.52000000000001</v>
      </c>
      <c r="I27" s="1">
        <v>158.72</v>
      </c>
      <c r="J27" s="1">
        <v>167.91</v>
      </c>
      <c r="K27" s="1">
        <v>177.11</v>
      </c>
      <c r="L27" s="1">
        <v>186.32</v>
      </c>
    </row>
    <row r="28" spans="1:12" x14ac:dyDescent="0.35">
      <c r="A28" s="54"/>
      <c r="B28" s="4">
        <v>27052.48</v>
      </c>
      <c r="C28" s="1">
        <v>113.87</v>
      </c>
      <c r="D28" s="1">
        <v>124.08</v>
      </c>
      <c r="E28" s="1">
        <v>134.29</v>
      </c>
      <c r="F28" s="1">
        <v>144.49</v>
      </c>
      <c r="G28" s="1">
        <v>154.71</v>
      </c>
      <c r="H28" s="1">
        <v>164.92</v>
      </c>
      <c r="I28" s="1">
        <v>175.13</v>
      </c>
      <c r="J28" s="1">
        <v>185.33</v>
      </c>
      <c r="K28" s="1">
        <v>192.56</v>
      </c>
      <c r="L28" s="1">
        <v>205.76</v>
      </c>
    </row>
    <row r="29" spans="1:12" x14ac:dyDescent="0.35">
      <c r="A29" s="54"/>
      <c r="B29" s="3">
        <v>31214.400000000001</v>
      </c>
      <c r="C29" s="1">
        <v>131.80000000000001</v>
      </c>
      <c r="D29" s="1">
        <v>143.87</v>
      </c>
      <c r="E29" s="1">
        <v>155.93</v>
      </c>
      <c r="F29" s="1">
        <v>168.02</v>
      </c>
      <c r="G29" s="1">
        <v>180.07</v>
      </c>
      <c r="H29" s="1">
        <v>192.13</v>
      </c>
      <c r="I29" s="1">
        <v>204.2</v>
      </c>
      <c r="J29" s="1">
        <v>216.27</v>
      </c>
      <c r="K29" s="1">
        <v>228.34</v>
      </c>
      <c r="L29" s="1">
        <v>240.41</v>
      </c>
    </row>
    <row r="30" spans="1:12" x14ac:dyDescent="0.35">
      <c r="A30" s="54"/>
      <c r="B30" s="3">
        <v>37457.279999999999</v>
      </c>
      <c r="C30" s="1">
        <v>158.41</v>
      </c>
      <c r="D30" s="1">
        <v>172.89</v>
      </c>
      <c r="E30" s="1">
        <v>187.36</v>
      </c>
      <c r="F30" s="1">
        <v>201.87</v>
      </c>
      <c r="G30" s="1">
        <v>216.32</v>
      </c>
      <c r="H30" s="1">
        <v>230.8</v>
      </c>
      <c r="I30" s="1">
        <v>245.27</v>
      </c>
      <c r="J30" s="1">
        <v>259.76</v>
      </c>
      <c r="K30" s="1">
        <v>274.26</v>
      </c>
      <c r="L30" s="1">
        <v>288.72000000000003</v>
      </c>
    </row>
    <row r="31" spans="1:12" x14ac:dyDescent="0.35">
      <c r="A31" s="6" t="s">
        <v>12</v>
      </c>
      <c r="B31" s="3" t="s">
        <v>17</v>
      </c>
      <c r="C31" s="1">
        <v>190.58</v>
      </c>
      <c r="D31" s="1">
        <v>207.95</v>
      </c>
      <c r="E31" s="1">
        <v>225.32</v>
      </c>
      <c r="F31" s="1">
        <v>242.73</v>
      </c>
      <c r="G31" s="1">
        <v>260.08</v>
      </c>
      <c r="H31" s="1">
        <v>277.45</v>
      </c>
      <c r="I31" s="1">
        <v>294.82</v>
      </c>
      <c r="J31" s="1">
        <v>312.22000000000003</v>
      </c>
      <c r="K31" s="1">
        <v>329.6</v>
      </c>
      <c r="L31" s="1">
        <v>346.96</v>
      </c>
    </row>
    <row r="32" spans="1:12" x14ac:dyDescent="0.35">
      <c r="A32" s="54" t="s">
        <v>13</v>
      </c>
      <c r="B32" s="54"/>
      <c r="C32" s="7">
        <v>363.36689999999999</v>
      </c>
      <c r="D32" s="1"/>
      <c r="E32" s="8"/>
      <c r="F32" s="8"/>
      <c r="G32" s="8"/>
      <c r="H32" s="8"/>
      <c r="I32" s="8"/>
      <c r="J32" s="8"/>
      <c r="K32" s="8"/>
      <c r="L32" s="8"/>
    </row>
    <row r="33" spans="1:12" x14ac:dyDescent="0.35">
      <c r="J33"/>
    </row>
    <row r="34" spans="1:12" x14ac:dyDescent="0.35">
      <c r="J34"/>
    </row>
    <row r="35" spans="1:12" x14ac:dyDescent="0.35">
      <c r="A35" s="54" t="s">
        <v>0</v>
      </c>
      <c r="B35" s="54"/>
      <c r="C35" s="54" t="s">
        <v>15</v>
      </c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26" x14ac:dyDescent="0.35">
      <c r="A36" s="54"/>
      <c r="B36" s="54"/>
      <c r="C36" s="5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</row>
    <row r="37" spans="1:12" x14ac:dyDescent="0.35">
      <c r="A37" s="55" t="s">
        <v>11</v>
      </c>
      <c r="B37" s="3">
        <v>1456.672</v>
      </c>
      <c r="C37" s="1">
        <v>20</v>
      </c>
      <c r="D37" s="1">
        <v>24.1</v>
      </c>
      <c r="E37" s="1">
        <v>27.72</v>
      </c>
      <c r="F37" s="1">
        <v>30.49</v>
      </c>
      <c r="G37" s="1">
        <v>33.54</v>
      </c>
      <c r="H37" s="1">
        <v>47.72</v>
      </c>
      <c r="I37" s="1">
        <v>57.27</v>
      </c>
      <c r="J37" s="1">
        <v>62.99</v>
      </c>
      <c r="K37" s="1">
        <v>75.59</v>
      </c>
      <c r="L37" s="1">
        <v>90.71</v>
      </c>
    </row>
    <row r="38" spans="1:12" x14ac:dyDescent="0.35">
      <c r="A38" s="56"/>
      <c r="B38" s="3">
        <v>2497.152</v>
      </c>
      <c r="C38" s="1">
        <v>26.56</v>
      </c>
      <c r="D38" s="1">
        <v>32.01</v>
      </c>
      <c r="E38" s="1">
        <v>36.81</v>
      </c>
      <c r="F38" s="1">
        <v>40.5</v>
      </c>
      <c r="G38" s="1">
        <v>44.54</v>
      </c>
      <c r="H38" s="1">
        <v>63.39</v>
      </c>
      <c r="I38" s="1">
        <v>76.06</v>
      </c>
      <c r="J38" s="1">
        <v>83.67</v>
      </c>
      <c r="K38" s="1">
        <v>100.4</v>
      </c>
      <c r="L38" s="1">
        <v>120.48</v>
      </c>
    </row>
    <row r="39" spans="1:12" x14ac:dyDescent="0.35">
      <c r="A39" s="56"/>
      <c r="B39" s="3">
        <v>4994.3040000000001</v>
      </c>
      <c r="C39" s="1">
        <v>43.37</v>
      </c>
      <c r="D39" s="1">
        <v>52.26</v>
      </c>
      <c r="E39" s="1">
        <v>60.1</v>
      </c>
      <c r="F39" s="1">
        <v>66.11</v>
      </c>
      <c r="G39" s="1">
        <v>72.73</v>
      </c>
      <c r="H39" s="1">
        <v>103.49</v>
      </c>
      <c r="I39" s="1">
        <v>124.18</v>
      </c>
      <c r="J39" s="1">
        <v>136.6</v>
      </c>
      <c r="K39" s="1">
        <v>163.92</v>
      </c>
      <c r="L39" s="1">
        <v>196.71</v>
      </c>
    </row>
    <row r="40" spans="1:12" x14ac:dyDescent="0.35">
      <c r="A40" s="56"/>
      <c r="B40" s="3">
        <v>7491.4560000000001</v>
      </c>
      <c r="C40" s="1">
        <v>54.7</v>
      </c>
      <c r="D40" s="1">
        <v>65.92</v>
      </c>
      <c r="E40" s="1">
        <v>75.81</v>
      </c>
      <c r="F40" s="1">
        <v>83.39</v>
      </c>
      <c r="G40" s="1">
        <v>91.73</v>
      </c>
      <c r="H40" s="1">
        <v>130.53</v>
      </c>
      <c r="I40" s="1">
        <v>156.63999999999999</v>
      </c>
      <c r="J40" s="1">
        <v>172.3</v>
      </c>
      <c r="K40" s="1">
        <v>206.76</v>
      </c>
      <c r="L40" s="1">
        <v>248.12</v>
      </c>
    </row>
    <row r="41" spans="1:12" x14ac:dyDescent="0.35">
      <c r="A41" s="56"/>
      <c r="B41" s="4">
        <v>9988.6080000000002</v>
      </c>
      <c r="C41" s="1">
        <v>61.54</v>
      </c>
      <c r="D41" s="1">
        <v>74.16</v>
      </c>
      <c r="E41" s="1">
        <v>85.28</v>
      </c>
      <c r="F41" s="1">
        <v>93.81</v>
      </c>
      <c r="G41" s="1">
        <v>103.19</v>
      </c>
      <c r="H41" s="1">
        <v>146.84</v>
      </c>
      <c r="I41" s="1">
        <v>176.2</v>
      </c>
      <c r="J41" s="1">
        <v>193.82</v>
      </c>
      <c r="K41" s="1">
        <v>232.59</v>
      </c>
      <c r="L41" s="1">
        <v>279.10000000000002</v>
      </c>
    </row>
    <row r="42" spans="1:12" x14ac:dyDescent="0.35">
      <c r="A42" s="56"/>
      <c r="B42" s="4">
        <v>14982.912</v>
      </c>
      <c r="C42" s="1">
        <v>75.180000000000007</v>
      </c>
      <c r="D42" s="1">
        <v>90.6</v>
      </c>
      <c r="E42" s="1">
        <v>104.19</v>
      </c>
      <c r="F42" s="1">
        <v>114.61</v>
      </c>
      <c r="G42" s="1">
        <v>126.08</v>
      </c>
      <c r="H42" s="1">
        <v>179.4</v>
      </c>
      <c r="I42" s="1">
        <v>215.28</v>
      </c>
      <c r="J42" s="1">
        <v>236.81</v>
      </c>
      <c r="K42" s="1">
        <v>284.17</v>
      </c>
      <c r="L42" s="1">
        <v>341</v>
      </c>
    </row>
    <row r="43" spans="1:12" x14ac:dyDescent="0.35">
      <c r="A43" s="56"/>
      <c r="B43" s="4">
        <v>19977.216</v>
      </c>
      <c r="C43" s="1">
        <v>84.62</v>
      </c>
      <c r="D43" s="1">
        <v>101.98</v>
      </c>
      <c r="E43" s="1">
        <v>117.28</v>
      </c>
      <c r="F43" s="1">
        <v>129</v>
      </c>
      <c r="G43" s="1">
        <v>141.9</v>
      </c>
      <c r="H43" s="1">
        <v>201.92</v>
      </c>
      <c r="I43" s="1">
        <v>242.31</v>
      </c>
      <c r="J43" s="1">
        <v>266.54000000000002</v>
      </c>
      <c r="K43" s="1">
        <v>319.85000000000002</v>
      </c>
      <c r="L43" s="1">
        <v>383.82</v>
      </c>
    </row>
    <row r="44" spans="1:12" x14ac:dyDescent="0.35">
      <c r="A44" s="56"/>
      <c r="B44" s="4">
        <v>23514.848000000002</v>
      </c>
      <c r="C44" s="1">
        <v>103.55</v>
      </c>
      <c r="D44" s="1">
        <v>124.69</v>
      </c>
      <c r="E44" s="1">
        <v>143.30000000000001</v>
      </c>
      <c r="F44" s="1">
        <v>157.74</v>
      </c>
      <c r="G44" s="1">
        <v>173.51</v>
      </c>
      <c r="H44" s="1">
        <v>246.9</v>
      </c>
      <c r="I44" s="1">
        <v>296.27999999999997</v>
      </c>
      <c r="J44" s="1">
        <v>325.89999999999998</v>
      </c>
      <c r="K44" s="1">
        <v>391.09</v>
      </c>
      <c r="L44" s="1">
        <v>469.3</v>
      </c>
    </row>
    <row r="45" spans="1:12" x14ac:dyDescent="0.35">
      <c r="A45" s="56"/>
      <c r="B45" s="4">
        <v>27052.48</v>
      </c>
      <c r="C45" s="1">
        <v>113.87</v>
      </c>
      <c r="D45" s="1">
        <v>137.16</v>
      </c>
      <c r="E45" s="1">
        <v>157.74</v>
      </c>
      <c r="F45" s="1">
        <v>173.51</v>
      </c>
      <c r="G45" s="1">
        <v>190.86</v>
      </c>
      <c r="H45" s="1">
        <v>271.58999999999997</v>
      </c>
      <c r="I45" s="1">
        <v>325.89999999999998</v>
      </c>
      <c r="J45" s="1">
        <v>358.5</v>
      </c>
      <c r="K45" s="1">
        <v>430.19</v>
      </c>
      <c r="L45" s="1">
        <v>516.23</v>
      </c>
    </row>
    <row r="46" spans="1:12" x14ac:dyDescent="0.35">
      <c r="A46" s="56"/>
      <c r="B46" s="3">
        <v>31214.400000000001</v>
      </c>
      <c r="C46" s="1">
        <v>131.80000000000001</v>
      </c>
      <c r="D46" s="1">
        <v>150.88</v>
      </c>
      <c r="E46" s="1">
        <v>173.51</v>
      </c>
      <c r="F46" s="1">
        <v>190.86</v>
      </c>
      <c r="G46" s="1">
        <v>209.95</v>
      </c>
      <c r="H46" s="1">
        <v>298.75</v>
      </c>
      <c r="I46" s="1">
        <v>358.5</v>
      </c>
      <c r="J46" s="1">
        <v>394.34</v>
      </c>
      <c r="K46" s="1">
        <v>473.21</v>
      </c>
      <c r="L46" s="1">
        <v>567.86</v>
      </c>
    </row>
    <row r="47" spans="1:12" x14ac:dyDescent="0.35">
      <c r="A47" s="57"/>
      <c r="B47" s="3">
        <v>37457.279999999999</v>
      </c>
      <c r="C47" s="1">
        <v>158.41</v>
      </c>
      <c r="D47" s="1">
        <v>172.89</v>
      </c>
      <c r="E47" s="1">
        <v>190.86</v>
      </c>
      <c r="F47" s="1">
        <v>209.95</v>
      </c>
      <c r="G47" s="1">
        <v>230.94</v>
      </c>
      <c r="H47" s="1">
        <v>328.62</v>
      </c>
      <c r="I47" s="1">
        <v>394.34</v>
      </c>
      <c r="J47" s="1">
        <v>433.78</v>
      </c>
      <c r="K47" s="1">
        <v>520.54</v>
      </c>
      <c r="L47" s="1">
        <v>624.64</v>
      </c>
    </row>
    <row r="48" spans="1:12" x14ac:dyDescent="0.35">
      <c r="A48" s="6" t="s">
        <v>12</v>
      </c>
      <c r="B48" s="3">
        <v>37457.279999999999</v>
      </c>
      <c r="C48" s="1">
        <v>190.58</v>
      </c>
      <c r="D48" s="1">
        <v>207.95</v>
      </c>
      <c r="E48" s="1">
        <v>225.32</v>
      </c>
      <c r="F48" s="1">
        <v>242.73</v>
      </c>
      <c r="G48" s="1">
        <v>260.08</v>
      </c>
      <c r="H48" s="1">
        <v>361.48</v>
      </c>
      <c r="I48" s="1">
        <v>433.78</v>
      </c>
      <c r="J48" s="1">
        <v>477.16</v>
      </c>
      <c r="K48" s="1">
        <v>572.59</v>
      </c>
      <c r="L48" s="1">
        <v>687.11</v>
      </c>
    </row>
    <row r="49" spans="1:12" x14ac:dyDescent="0.35">
      <c r="A49" s="52" t="s">
        <v>13</v>
      </c>
      <c r="B49" s="53"/>
      <c r="C49" s="7">
        <v>398.82</v>
      </c>
      <c r="D49" s="1"/>
      <c r="E49" s="8"/>
      <c r="F49" s="8"/>
      <c r="G49" s="8"/>
      <c r="H49" s="8"/>
      <c r="I49" s="8"/>
      <c r="J49" s="8"/>
      <c r="K49" s="8"/>
      <c r="L49" s="8"/>
    </row>
    <row r="50" spans="1:12" x14ac:dyDescent="0.35">
      <c r="J50"/>
    </row>
    <row r="51" spans="1:12" x14ac:dyDescent="0.35">
      <c r="J51"/>
    </row>
    <row r="52" spans="1:12" x14ac:dyDescent="0.35">
      <c r="A52" s="58" t="s">
        <v>0</v>
      </c>
      <c r="B52" s="59"/>
      <c r="C52" s="52" t="s">
        <v>16</v>
      </c>
      <c r="D52" s="62"/>
      <c r="E52" s="62"/>
      <c r="F52" s="62"/>
      <c r="G52" s="62"/>
      <c r="H52" s="62"/>
      <c r="I52" s="62"/>
      <c r="J52" s="62"/>
      <c r="K52" s="62"/>
      <c r="L52" s="53"/>
    </row>
    <row r="53" spans="1:12" ht="26" x14ac:dyDescent="0.35">
      <c r="A53" s="60"/>
      <c r="B53" s="61"/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</row>
    <row r="54" spans="1:12" x14ac:dyDescent="0.35">
      <c r="A54" s="55" t="s">
        <v>11</v>
      </c>
      <c r="B54" s="3">
        <v>1456.672</v>
      </c>
      <c r="C54" s="1">
        <v>30.88</v>
      </c>
      <c r="D54" s="1">
        <v>37.22</v>
      </c>
      <c r="E54" s="1">
        <v>42.8</v>
      </c>
      <c r="F54" s="1">
        <v>47.08</v>
      </c>
      <c r="G54" s="1">
        <v>51.79</v>
      </c>
      <c r="H54" s="1">
        <v>73.69</v>
      </c>
      <c r="I54" s="1">
        <v>88.43</v>
      </c>
      <c r="J54" s="1">
        <v>97.27</v>
      </c>
      <c r="K54" s="1">
        <v>116.72</v>
      </c>
      <c r="L54" s="1">
        <v>140.07</v>
      </c>
    </row>
    <row r="55" spans="1:12" x14ac:dyDescent="0.35">
      <c r="A55" s="56"/>
      <c r="B55" s="3">
        <v>2497.152</v>
      </c>
      <c r="C55" s="1">
        <v>41.02</v>
      </c>
      <c r="D55" s="1">
        <v>49.43</v>
      </c>
      <c r="E55" s="1">
        <v>56.85</v>
      </c>
      <c r="F55" s="1">
        <v>62.53</v>
      </c>
      <c r="G55" s="1">
        <v>68.78</v>
      </c>
      <c r="H55" s="1">
        <v>97.88</v>
      </c>
      <c r="I55" s="1">
        <v>117.45</v>
      </c>
      <c r="J55" s="1">
        <v>129.19999999999999</v>
      </c>
      <c r="K55" s="1">
        <v>155.03</v>
      </c>
      <c r="L55" s="1">
        <v>186.04</v>
      </c>
    </row>
    <row r="56" spans="1:12" x14ac:dyDescent="0.35">
      <c r="A56" s="56"/>
      <c r="B56" s="3">
        <v>4994.3040000000001</v>
      </c>
      <c r="C56" s="1">
        <v>66.97</v>
      </c>
      <c r="D56" s="1">
        <v>80.7</v>
      </c>
      <c r="E56" s="1">
        <v>92.81</v>
      </c>
      <c r="F56" s="1">
        <v>102.09</v>
      </c>
      <c r="G56" s="1">
        <v>112.3</v>
      </c>
      <c r="H56" s="1">
        <v>159.80000000000001</v>
      </c>
      <c r="I56" s="1">
        <v>191.75</v>
      </c>
      <c r="J56" s="1">
        <v>210.93</v>
      </c>
      <c r="K56" s="1">
        <v>253.12</v>
      </c>
      <c r="L56" s="1">
        <v>303.74</v>
      </c>
    </row>
    <row r="57" spans="1:12" x14ac:dyDescent="0.35">
      <c r="A57" s="56"/>
      <c r="B57" s="3">
        <v>7491.4560000000001</v>
      </c>
      <c r="C57" s="1">
        <v>84.47</v>
      </c>
      <c r="D57" s="1">
        <v>101.79</v>
      </c>
      <c r="E57" s="1">
        <v>117.06</v>
      </c>
      <c r="F57" s="1">
        <v>128.77000000000001</v>
      </c>
      <c r="G57" s="1">
        <v>141.65</v>
      </c>
      <c r="H57" s="1">
        <v>201.56</v>
      </c>
      <c r="I57" s="1">
        <v>241.87</v>
      </c>
      <c r="J57" s="1">
        <v>266.05</v>
      </c>
      <c r="K57" s="1">
        <v>319.27</v>
      </c>
      <c r="L57" s="1">
        <v>383.12</v>
      </c>
    </row>
    <row r="58" spans="1:12" x14ac:dyDescent="0.35">
      <c r="A58" s="56"/>
      <c r="B58" s="4">
        <v>9988.6080000000002</v>
      </c>
      <c r="C58" s="1">
        <v>95.02</v>
      </c>
      <c r="D58" s="1">
        <v>114.51</v>
      </c>
      <c r="E58" s="1">
        <v>131.68</v>
      </c>
      <c r="F58" s="1">
        <v>144.85</v>
      </c>
      <c r="G58" s="1">
        <v>159.34</v>
      </c>
      <c r="H58" s="1">
        <v>226.73</v>
      </c>
      <c r="I58" s="1">
        <v>272.08</v>
      </c>
      <c r="J58" s="1">
        <v>299.27999999999997</v>
      </c>
      <c r="K58" s="1">
        <v>359.14</v>
      </c>
      <c r="L58" s="1">
        <v>430.97</v>
      </c>
    </row>
    <row r="59" spans="1:12" x14ac:dyDescent="0.35">
      <c r="A59" s="56"/>
      <c r="B59" s="4">
        <v>14982.912</v>
      </c>
      <c r="C59" s="1">
        <v>116.09</v>
      </c>
      <c r="D59" s="1">
        <v>139.9</v>
      </c>
      <c r="E59" s="1">
        <v>160.88999999999999</v>
      </c>
      <c r="F59" s="1">
        <v>176.98</v>
      </c>
      <c r="G59" s="1">
        <v>194.67</v>
      </c>
      <c r="H59" s="1">
        <v>277.01</v>
      </c>
      <c r="I59" s="1">
        <v>332.42</v>
      </c>
      <c r="J59" s="1">
        <v>365.66</v>
      </c>
      <c r="K59" s="1">
        <v>438.79</v>
      </c>
      <c r="L59" s="1">
        <v>526.54999999999995</v>
      </c>
    </row>
    <row r="60" spans="1:12" x14ac:dyDescent="0.35">
      <c r="A60" s="56"/>
      <c r="B60" s="4">
        <v>19977.216</v>
      </c>
      <c r="C60" s="1">
        <v>130.66999999999999</v>
      </c>
      <c r="D60" s="1">
        <v>157.47</v>
      </c>
      <c r="E60" s="1">
        <v>181.09</v>
      </c>
      <c r="F60" s="1">
        <v>199.19</v>
      </c>
      <c r="G60" s="1">
        <v>219.11</v>
      </c>
      <c r="H60" s="1">
        <v>311.79000000000002</v>
      </c>
      <c r="I60" s="1">
        <v>374.15</v>
      </c>
      <c r="J60" s="1">
        <v>411.57</v>
      </c>
      <c r="K60" s="1">
        <v>493.88</v>
      </c>
      <c r="L60" s="1">
        <v>592.65</v>
      </c>
    </row>
    <row r="61" spans="1:12" x14ac:dyDescent="0.35">
      <c r="A61" s="56"/>
      <c r="B61" s="4">
        <v>23514.848000000002</v>
      </c>
      <c r="C61" s="1">
        <v>159.9</v>
      </c>
      <c r="D61" s="1">
        <v>192.54</v>
      </c>
      <c r="E61" s="1">
        <v>221.42</v>
      </c>
      <c r="F61" s="1">
        <v>243.56</v>
      </c>
      <c r="G61" s="1">
        <v>267.92</v>
      </c>
      <c r="H61" s="1">
        <v>381.24</v>
      </c>
      <c r="I61" s="1">
        <v>457.49</v>
      </c>
      <c r="J61" s="1">
        <v>503.23</v>
      </c>
      <c r="K61" s="1">
        <v>603.88</v>
      </c>
      <c r="L61" s="1">
        <v>724.66</v>
      </c>
    </row>
    <row r="62" spans="1:12" x14ac:dyDescent="0.35">
      <c r="A62" s="56"/>
      <c r="B62" s="4">
        <v>27052.48</v>
      </c>
      <c r="C62" s="1">
        <v>175.84</v>
      </c>
      <c r="D62" s="1">
        <v>211.79</v>
      </c>
      <c r="E62" s="1">
        <v>243.56</v>
      </c>
      <c r="F62" s="1">
        <v>267.92</v>
      </c>
      <c r="G62" s="1">
        <v>294.70999999999998</v>
      </c>
      <c r="H62" s="1">
        <v>419.36</v>
      </c>
      <c r="I62" s="1">
        <v>503.23</v>
      </c>
      <c r="J62" s="1">
        <v>553.55999999999995</v>
      </c>
      <c r="K62" s="1">
        <v>664.27</v>
      </c>
      <c r="L62" s="1">
        <v>797.12</v>
      </c>
    </row>
    <row r="63" spans="1:12" x14ac:dyDescent="0.35">
      <c r="A63" s="56"/>
      <c r="B63" s="3">
        <v>31214.400000000001</v>
      </c>
      <c r="C63" s="1">
        <v>203.51</v>
      </c>
      <c r="D63" s="1">
        <v>232.97</v>
      </c>
      <c r="E63" s="1">
        <v>267.92</v>
      </c>
      <c r="F63" s="1">
        <v>294.70999999999998</v>
      </c>
      <c r="G63" s="1">
        <v>324.18</v>
      </c>
      <c r="H63" s="1">
        <v>461.3</v>
      </c>
      <c r="I63" s="1">
        <v>553.55999999999995</v>
      </c>
      <c r="J63" s="1">
        <v>608.91</v>
      </c>
      <c r="K63" s="1">
        <v>730.7</v>
      </c>
      <c r="L63" s="1">
        <v>876.84</v>
      </c>
    </row>
    <row r="64" spans="1:12" x14ac:dyDescent="0.35">
      <c r="A64" s="57"/>
      <c r="B64" s="3">
        <v>37457.279999999999</v>
      </c>
      <c r="C64" s="1">
        <v>244.61</v>
      </c>
      <c r="D64" s="1">
        <v>266.95999999999998</v>
      </c>
      <c r="E64" s="1">
        <v>294.70999999999998</v>
      </c>
      <c r="F64" s="1">
        <v>324.18</v>
      </c>
      <c r="G64" s="1">
        <v>356.6</v>
      </c>
      <c r="H64" s="1">
        <v>507.43</v>
      </c>
      <c r="I64" s="1">
        <v>608.91</v>
      </c>
      <c r="J64" s="1">
        <v>669.8</v>
      </c>
      <c r="K64" s="1">
        <v>803.77</v>
      </c>
      <c r="L64" s="1">
        <v>964.52</v>
      </c>
    </row>
    <row r="65" spans="1:12" x14ac:dyDescent="0.35">
      <c r="A65" s="6" t="s">
        <v>12</v>
      </c>
      <c r="B65" s="3">
        <v>37457.279999999999</v>
      </c>
      <c r="C65" s="1">
        <v>294.27</v>
      </c>
      <c r="D65" s="1">
        <v>321.10000000000002</v>
      </c>
      <c r="E65" s="1">
        <v>347.92</v>
      </c>
      <c r="F65" s="1">
        <v>374.8</v>
      </c>
      <c r="G65" s="1">
        <v>401.59</v>
      </c>
      <c r="H65" s="1">
        <v>558.16999999999996</v>
      </c>
      <c r="I65" s="1">
        <v>669.8</v>
      </c>
      <c r="J65" s="1">
        <v>736.79</v>
      </c>
      <c r="K65" s="1">
        <v>884.14</v>
      </c>
      <c r="L65" s="1">
        <v>1060.97</v>
      </c>
    </row>
    <row r="66" spans="1:12" x14ac:dyDescent="0.35">
      <c r="A66" s="52" t="s">
        <v>13</v>
      </c>
      <c r="B66" s="53"/>
      <c r="C66" s="7">
        <v>450</v>
      </c>
      <c r="D66" s="1"/>
      <c r="E66" s="8"/>
      <c r="F66" s="8"/>
      <c r="G66" s="8"/>
      <c r="H66" s="8"/>
      <c r="I66" s="8"/>
      <c r="J66" s="8"/>
      <c r="K66" s="8"/>
      <c r="L66" s="8"/>
    </row>
    <row r="67" spans="1:12" x14ac:dyDescent="0.35">
      <c r="A67" s="2"/>
      <c r="J67"/>
    </row>
  </sheetData>
  <mergeCells count="12">
    <mergeCell ref="A66:B66"/>
    <mergeCell ref="A18:B19"/>
    <mergeCell ref="C18:L18"/>
    <mergeCell ref="A20:A30"/>
    <mergeCell ref="A32:B32"/>
    <mergeCell ref="A35:B36"/>
    <mergeCell ref="C35:L35"/>
    <mergeCell ref="A37:A47"/>
    <mergeCell ref="A49:B49"/>
    <mergeCell ref="A52:B53"/>
    <mergeCell ref="C52:L52"/>
    <mergeCell ref="A54:A6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23</vt:i4>
      </vt:variant>
    </vt:vector>
  </HeadingPairs>
  <TitlesOfParts>
    <vt:vector size="25" baseType="lpstr">
      <vt:lpstr>Simuladora</vt:lpstr>
      <vt:lpstr>Memória do Cálculo</vt:lpstr>
      <vt:lpstr>'Memória do Cálculo'!fx_etária_20</vt:lpstr>
      <vt:lpstr>Simuladora!fx_etária_20</vt:lpstr>
      <vt:lpstr>'Memória do Cálculo'!fx_salarial_20</vt:lpstr>
      <vt:lpstr>Simuladora!fx_salarial_20</vt:lpstr>
      <vt:lpstr>'Memória do Cálculo'!fx_salarial_21</vt:lpstr>
      <vt:lpstr>idade_dep_1</vt:lpstr>
      <vt:lpstr>idade_dep_2</vt:lpstr>
      <vt:lpstr>idade_dep_3</vt:lpstr>
      <vt:lpstr>idade_dep_4</vt:lpstr>
      <vt:lpstr>idade_dep_5</vt:lpstr>
      <vt:lpstr>idade_dep_6</vt:lpstr>
      <vt:lpstr>idade_titular</vt:lpstr>
      <vt:lpstr>'Memória do Cálculo'!idd_conj</vt:lpstr>
      <vt:lpstr>'Memória do Cálculo'!idd_tit</vt:lpstr>
      <vt:lpstr>remédio</vt:lpstr>
      <vt:lpstr>'Memória do Cálculo'!salário</vt:lpstr>
      <vt:lpstr>Simuladora!salário</vt:lpstr>
      <vt:lpstr>'Memória do Cálculo'!tab_20</vt:lpstr>
      <vt:lpstr>Simuladora!tab_20</vt:lpstr>
      <vt:lpstr>'Memória do Cálculo'!tab_21</vt:lpstr>
      <vt:lpstr>Simuladora!tab_21</vt:lpstr>
      <vt:lpstr>'Memória do Cálculo'!tab_22</vt:lpstr>
      <vt:lpstr>Simuladora!tab_22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Cloviomar Pereira</dc:creator>
  <cp:lastModifiedBy>Cloviomar Pereira</cp:lastModifiedBy>
  <dcterms:created xsi:type="dcterms:W3CDTF">2020-08-31T18:31:31Z</dcterms:created>
  <dcterms:modified xsi:type="dcterms:W3CDTF">2020-09-10T15:28:09Z</dcterms:modified>
</cp:coreProperties>
</file>